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NXP-Work\rc8-documents\rc8_documents_generic_ans_for_nfc_frontend_solutions\AN14518_Crystal_Oscillator_Design_Guide\published\v.2.0\"/>
    </mc:Choice>
  </mc:AlternateContent>
  <xr:revisionPtr revIDLastSave="0" documentId="13_ncr:1_{A846F319-EC4B-42B8-8F18-58FE8184BFBF}" xr6:coauthVersionLast="47" xr6:coauthVersionMax="47" xr10:uidLastSave="{00000000-0000-0000-0000-000000000000}"/>
  <bookViews>
    <workbookView xWindow="-103" yWindow="-103" windowWidth="16663" windowHeight="8743" xr2:uid="{5D2B35E5-43F7-4B9B-8D19-DFAA80444A1A}"/>
  </bookViews>
  <sheets>
    <sheet name="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52" i="1"/>
  <c r="F37" i="1"/>
  <c r="F39" i="1" l="1"/>
  <c r="F38" i="1"/>
  <c r="F21" i="1"/>
  <c r="F53" i="1" s="1"/>
  <c r="F54" i="1"/>
  <c r="F55" i="1" l="1"/>
  <c r="F42" i="1"/>
  <c r="F32" i="1"/>
  <c r="F31" i="1"/>
  <c r="F20" i="1"/>
  <c r="F41" i="1" s="1"/>
  <c r="F19" i="1"/>
  <c r="F40" i="1" s="1"/>
  <c r="F43" i="1" l="1"/>
  <c r="F44" i="1" s="1"/>
  <c r="F45" i="1" s="1"/>
  <c r="F33" i="1"/>
  <c r="F24" i="1"/>
</calcChain>
</file>

<file path=xl/sharedStrings.xml><?xml version="1.0" encoding="utf-8"?>
<sst xmlns="http://schemas.openxmlformats.org/spreadsheetml/2006/main" count="103" uniqueCount="54">
  <si>
    <t>Loading Capacitance</t>
  </si>
  <si>
    <t>Shunt Capacitance</t>
  </si>
  <si>
    <t>ESR</t>
  </si>
  <si>
    <t>XTAL Parameters (nominal)</t>
  </si>
  <si>
    <t>pF</t>
  </si>
  <si>
    <t>fF</t>
  </si>
  <si>
    <t>Ω</t>
  </si>
  <si>
    <t>PCB Parameters</t>
  </si>
  <si>
    <r>
      <t>C</t>
    </r>
    <r>
      <rPr>
        <vertAlign val="subscript"/>
        <sz val="11"/>
        <color theme="1"/>
        <rFont val="Calibri"/>
        <family val="2"/>
        <scheme val="minor"/>
      </rPr>
      <t>PCB_STRAY</t>
    </r>
  </si>
  <si>
    <r>
      <t>C</t>
    </r>
    <r>
      <rPr>
        <vertAlign val="subscript"/>
        <sz val="11"/>
        <color theme="1"/>
        <rFont val="Calibri"/>
        <family val="2"/>
        <scheme val="minor"/>
      </rPr>
      <t>PCB_IN</t>
    </r>
    <r>
      <rPr>
        <sz val="11"/>
        <color theme="1"/>
        <rFont val="Calibri"/>
        <family val="2"/>
        <scheme val="minor"/>
      </rPr>
      <t xml:space="preserve"> + C</t>
    </r>
    <r>
      <rPr>
        <vertAlign val="subscript"/>
        <sz val="11"/>
        <color theme="1"/>
        <rFont val="Calibri"/>
        <family val="2"/>
        <scheme val="minor"/>
      </rPr>
      <t xml:space="preserve">IN </t>
    </r>
  </si>
  <si>
    <r>
      <t>C</t>
    </r>
    <r>
      <rPr>
        <vertAlign val="subscript"/>
        <sz val="11"/>
        <color theme="1"/>
        <rFont val="Calibri"/>
        <family val="2"/>
        <scheme val="minor"/>
      </rPr>
      <t xml:space="preserve">PCB_OUT </t>
    </r>
    <r>
      <rPr>
        <sz val="11"/>
        <color theme="1"/>
        <rFont val="Calibri"/>
        <family val="2"/>
        <scheme val="minor"/>
      </rPr>
      <t>+ C</t>
    </r>
    <r>
      <rPr>
        <vertAlign val="subscript"/>
        <sz val="11"/>
        <color theme="1"/>
        <rFont val="Calibri"/>
        <family val="2"/>
        <scheme val="minor"/>
      </rPr>
      <t>OUT</t>
    </r>
  </si>
  <si>
    <t xml:space="preserve"> External caps. Calculation</t>
  </si>
  <si>
    <t>NFC Controller Parameters</t>
  </si>
  <si>
    <r>
      <t>C</t>
    </r>
    <r>
      <rPr>
        <vertAlign val="subscript"/>
        <sz val="11"/>
        <color theme="1"/>
        <rFont val="Calibri"/>
        <family val="2"/>
        <scheme val="minor"/>
      </rPr>
      <t>IN</t>
    </r>
  </si>
  <si>
    <r>
      <t>C</t>
    </r>
    <r>
      <rPr>
        <vertAlign val="subscript"/>
        <sz val="11"/>
        <color theme="1"/>
        <rFont val="Calibri"/>
        <family val="2"/>
        <scheme val="minor"/>
      </rPr>
      <t>OUT</t>
    </r>
  </si>
  <si>
    <r>
      <t>C</t>
    </r>
    <r>
      <rPr>
        <vertAlign val="subscript"/>
        <sz val="11"/>
        <color theme="1"/>
        <rFont val="Calibri"/>
        <family val="2"/>
        <scheme val="minor"/>
      </rPr>
      <t>PCB_IN</t>
    </r>
  </si>
  <si>
    <r>
      <t>C</t>
    </r>
    <r>
      <rPr>
        <vertAlign val="subscript"/>
        <sz val="11"/>
        <color theme="1"/>
        <rFont val="Calibri"/>
        <family val="2"/>
        <scheme val="minor"/>
      </rPr>
      <t>PCB_OUT</t>
    </r>
  </si>
  <si>
    <t>Measured</t>
  </si>
  <si>
    <t>Calculated</t>
  </si>
  <si>
    <t>XTAL Data sheet</t>
  </si>
  <si>
    <t>NFCC Data sheet</t>
  </si>
  <si>
    <t xml:space="preserve">XTAL Drive Level </t>
  </si>
  <si>
    <t xml:space="preserve">Oscillation frequency </t>
  </si>
  <si>
    <t>Hz</t>
  </si>
  <si>
    <t>Vpp</t>
  </si>
  <si>
    <t>µW</t>
  </si>
  <si>
    <t>F</t>
  </si>
  <si>
    <t>Scope Probe Capacitance</t>
  </si>
  <si>
    <t>Scope Probe Capacintance</t>
  </si>
  <si>
    <t xml:space="preserve">XTAL1-XTAL2 Voltage </t>
  </si>
  <si>
    <t>XTAL Drive Level Calculation</t>
  </si>
  <si>
    <t xml:space="preserve">Negative Resistance </t>
  </si>
  <si>
    <t>Transconductance "gm"</t>
  </si>
  <si>
    <t>mA/V</t>
  </si>
  <si>
    <t>CL1+CIN+CPCB_IN</t>
  </si>
  <si>
    <t>CL2+COUT+CPCB_OUT</t>
  </si>
  <si>
    <t>CSHUNT+CPCB_STRAY</t>
  </si>
  <si>
    <t>A/V</t>
  </si>
  <si>
    <t>XTAL pullability</t>
  </si>
  <si>
    <r>
      <t>Choosen C</t>
    </r>
    <r>
      <rPr>
        <vertAlign val="subscript"/>
        <sz val="11"/>
        <color theme="1"/>
        <rFont val="Calibri"/>
        <family val="2"/>
        <scheme val="minor"/>
      </rPr>
      <t>L1</t>
    </r>
    <r>
      <rPr>
        <sz val="11"/>
        <color theme="1"/>
        <rFont val="Calibri"/>
        <family val="2"/>
        <scheme val="minor"/>
      </rPr>
      <t xml:space="preserve"> &amp; C</t>
    </r>
    <r>
      <rPr>
        <vertAlign val="subscript"/>
        <sz val="11"/>
        <color theme="1"/>
        <rFont val="Calibri"/>
        <family val="2"/>
        <scheme val="minor"/>
      </rPr>
      <t>L2</t>
    </r>
  </si>
  <si>
    <r>
      <t>Calculated C</t>
    </r>
    <r>
      <rPr>
        <vertAlign val="subscript"/>
        <sz val="11"/>
        <color theme="1"/>
        <rFont val="Calibri"/>
        <family val="2"/>
        <scheme val="minor"/>
      </rPr>
      <t>L1</t>
    </r>
    <r>
      <rPr>
        <sz val="11"/>
        <color theme="1"/>
        <rFont val="Calibri"/>
        <family val="2"/>
        <scheme val="minor"/>
      </rPr>
      <t xml:space="preserve"> &amp; C</t>
    </r>
    <r>
      <rPr>
        <vertAlign val="subscript"/>
        <sz val="11"/>
        <color theme="1"/>
        <rFont val="Calibri"/>
        <family val="2"/>
        <scheme val="minor"/>
      </rPr>
      <t>L2</t>
    </r>
  </si>
  <si>
    <t>Loading Capacintance</t>
  </si>
  <si>
    <t>Motional capacintance</t>
  </si>
  <si>
    <t>CSEEN</t>
  </si>
  <si>
    <t>Overall shunt Capacitance</t>
  </si>
  <si>
    <t>ppm</t>
  </si>
  <si>
    <t xml:space="preserve">Frequency offset from 13,56 MHz </t>
  </si>
  <si>
    <t>For Calculation purpose</t>
  </si>
  <si>
    <t xml:space="preserve">Choosen </t>
  </si>
  <si>
    <t>Inserted</t>
  </si>
  <si>
    <t>Probe Data sheet</t>
  </si>
  <si>
    <t xml:space="preserve">Always double-check the carrier frequency with a scope/spectrum analyzer after assembly! </t>
  </si>
  <si>
    <t xml:space="preserve">Indicates only the value, always double-check with the resistor used in the design! </t>
  </si>
  <si>
    <t>Motional Capacitance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</si>
</sst>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4" fillId="11" borderId="0" xfId="0" applyFont="1" applyFill="1" applyAlignment="1">
      <alignment horizontal="center"/>
    </xf>
    <xf numFmtId="0" fontId="4" fillId="0" borderId="0" xfId="0" applyFont="1"/>
    <xf numFmtId="0" fontId="1" fillId="0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5" xfId="0" applyFont="1" applyBorder="1"/>
    <xf numFmtId="2" fontId="1" fillId="3" borderId="7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2" fontId="0" fillId="11" borderId="0" xfId="0" applyNumberFormat="1" applyFont="1" applyFill="1" applyBorder="1" applyAlignment="1">
      <alignment horizontal="center"/>
    </xf>
    <xf numFmtId="0" fontId="0" fillId="11" borderId="0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11" fontId="0" fillId="11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4" fillId="0" borderId="3" xfId="0" applyFont="1" applyBorder="1"/>
    <xf numFmtId="0" fontId="0" fillId="11" borderId="0" xfId="0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4" fillId="11" borderId="5" xfId="0" applyFont="1" applyFill="1" applyBorder="1"/>
    <xf numFmtId="11" fontId="0" fillId="11" borderId="0" xfId="0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126470</xdr:colOff>
      <xdr:row>0</xdr:row>
      <xdr:rowOff>107037</xdr:rowOff>
    </xdr:from>
    <xdr:to>
      <xdr:col>2</xdr:col>
      <xdr:colOff>382911</xdr:colOff>
      <xdr:row>3</xdr:row>
      <xdr:rowOff>34432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D8728A8-AD19-C850-013F-C633FD130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70" y="107037"/>
          <a:ext cx="1482267" cy="507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107674</xdr:colOff>
      <xdr:row>24</xdr:row>
      <xdr:rowOff>57979</xdr:rowOff>
    </xdr:from>
    <xdr:to>
      <xdr:col>8</xdr:col>
      <xdr:colOff>521805</xdr:colOff>
      <xdr:row>24</xdr:row>
      <xdr:rowOff>231914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341E631C-FB09-487E-7E4D-1217786AF2B1}"/>
            </a:ext>
          </a:extLst>
        </xdr:cNvPr>
        <xdr:cNvSpPr/>
      </xdr:nvSpPr>
      <xdr:spPr>
        <a:xfrm>
          <a:off x="7437783" y="4141305"/>
          <a:ext cx="414131" cy="173935"/>
        </a:xfrm>
        <a:prstGeom prst="rightArrow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94422</xdr:colOff>
      <xdr:row>54</xdr:row>
      <xdr:rowOff>19878</xdr:rowOff>
    </xdr:from>
    <xdr:to>
      <xdr:col>8</xdr:col>
      <xdr:colOff>508553</xdr:colOff>
      <xdr:row>54</xdr:row>
      <xdr:rowOff>193813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A83C0792-6F76-4CBF-A02F-DDA409B4DB99}"/>
            </a:ext>
          </a:extLst>
        </xdr:cNvPr>
        <xdr:cNvSpPr/>
      </xdr:nvSpPr>
      <xdr:spPr>
        <a:xfrm>
          <a:off x="7424531" y="7035248"/>
          <a:ext cx="414131" cy="173935"/>
        </a:xfrm>
        <a:prstGeom prst="rightArrow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10</xdr:col>
      <xdr:colOff>323021</xdr:colOff>
      <xdr:row>1</xdr:row>
      <xdr:rowOff>25422</xdr:rowOff>
    </xdr:from>
    <xdr:to>
      <xdr:col>15</xdr:col>
      <xdr:colOff>455542</xdr:colOff>
      <xdr:row>22</xdr:row>
      <xdr:rowOff>27962</xdr:rowOff>
    </xdr:to>
    <xdr:pic>
      <xdr:nvPicPr>
        <xdr:cNvPr id="328" name="Picture 327">
          <a:extLst>
            <a:ext uri="{FF2B5EF4-FFF2-40B4-BE49-F238E27FC236}">
              <a16:creationId xmlns:a16="http://schemas.microsoft.com/office/drawing/2014/main" id="{EB697ADF-4080-1D86-0DF9-1215694BD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78956" y="215922"/>
          <a:ext cx="3197086" cy="3472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8920A-93F4-4161-BE5D-F507B36D3D21}">
  <dimension ref="E3:S57"/>
  <sheetViews>
    <sheetView tabSelected="1" zoomScaleNormal="100" workbookViewId="0">
      <selection activeCell="E8" sqref="E8"/>
    </sheetView>
  </sheetViews>
  <sheetFormatPr defaultRowHeight="14.6" x14ac:dyDescent="0.4"/>
  <cols>
    <col min="5" max="5" width="31.15234375" bestFit="1" customWidth="1"/>
    <col min="6" max="6" width="12.84375" bestFit="1" customWidth="1"/>
    <col min="8" max="8" width="19.84375" bestFit="1" customWidth="1"/>
    <col min="16" max="16" width="25.84375" customWidth="1"/>
    <col min="17" max="17" width="4.3046875" customWidth="1"/>
    <col min="18" max="18" width="9.15234375" hidden="1" customWidth="1"/>
    <col min="19" max="19" width="4.69140625" hidden="1" customWidth="1"/>
  </cols>
  <sheetData>
    <row r="3" spans="5:8" ht="15" thickBot="1" x14ac:dyDescent="0.45"/>
    <row r="4" spans="5:8" x14ac:dyDescent="0.4">
      <c r="E4" s="11" t="s">
        <v>3</v>
      </c>
      <c r="F4" s="12"/>
      <c r="G4" s="12"/>
      <c r="H4" s="13"/>
    </row>
    <row r="5" spans="5:8" x14ac:dyDescent="0.4">
      <c r="E5" s="14" t="s">
        <v>0</v>
      </c>
      <c r="F5" s="15">
        <v>10</v>
      </c>
      <c r="G5" s="15" t="s">
        <v>4</v>
      </c>
      <c r="H5" s="16" t="s">
        <v>19</v>
      </c>
    </row>
    <row r="6" spans="5:8" x14ac:dyDescent="0.4">
      <c r="E6" s="14" t="s">
        <v>1</v>
      </c>
      <c r="F6" s="15">
        <v>0.5</v>
      </c>
      <c r="G6" s="15" t="s">
        <v>4</v>
      </c>
      <c r="H6" s="16" t="s">
        <v>19</v>
      </c>
    </row>
    <row r="7" spans="5:8" x14ac:dyDescent="0.4">
      <c r="E7" s="14" t="s">
        <v>53</v>
      </c>
      <c r="F7" s="15">
        <v>1.54</v>
      </c>
      <c r="G7" s="15" t="s">
        <v>5</v>
      </c>
      <c r="H7" s="16" t="s">
        <v>19</v>
      </c>
    </row>
    <row r="8" spans="5:8" ht="15" thickBot="1" x14ac:dyDescent="0.45">
      <c r="E8" s="17" t="s">
        <v>2</v>
      </c>
      <c r="F8" s="18">
        <v>50</v>
      </c>
      <c r="G8" s="19" t="s">
        <v>6</v>
      </c>
      <c r="H8" s="20" t="s">
        <v>19</v>
      </c>
    </row>
    <row r="9" spans="5:8" ht="15" thickBot="1" x14ac:dyDescent="0.45">
      <c r="E9" s="1"/>
      <c r="F9" s="1"/>
      <c r="G9" s="2"/>
      <c r="H9" s="7"/>
    </row>
    <row r="10" spans="5:8" x14ac:dyDescent="0.4">
      <c r="E10" s="21" t="s">
        <v>12</v>
      </c>
      <c r="F10" s="12"/>
      <c r="G10" s="22"/>
      <c r="H10" s="23"/>
    </row>
    <row r="11" spans="5:8" ht="17.149999999999999" x14ac:dyDescent="0.55000000000000004">
      <c r="E11" s="14" t="s">
        <v>13</v>
      </c>
      <c r="F11" s="15">
        <v>1</v>
      </c>
      <c r="G11" s="24" t="s">
        <v>4</v>
      </c>
      <c r="H11" s="16" t="s">
        <v>20</v>
      </c>
    </row>
    <row r="12" spans="5:8" ht="17.600000000000001" thickBot="1" x14ac:dyDescent="0.6">
      <c r="E12" s="17" t="s">
        <v>14</v>
      </c>
      <c r="F12" s="18">
        <v>1</v>
      </c>
      <c r="G12" s="19" t="s">
        <v>4</v>
      </c>
      <c r="H12" s="20" t="s">
        <v>20</v>
      </c>
    </row>
    <row r="13" spans="5:8" ht="15" thickBot="1" x14ac:dyDescent="0.45">
      <c r="E13" s="1"/>
      <c r="F13" s="1"/>
      <c r="G13" s="2"/>
      <c r="H13" s="7"/>
    </row>
    <row r="14" spans="5:8" x14ac:dyDescent="0.4">
      <c r="E14" s="25" t="s">
        <v>7</v>
      </c>
      <c r="F14" s="12"/>
      <c r="G14" s="22"/>
      <c r="H14" s="23"/>
    </row>
    <row r="15" spans="5:8" ht="17.149999999999999" x14ac:dyDescent="0.55000000000000004">
      <c r="E15" s="14" t="s">
        <v>15</v>
      </c>
      <c r="F15" s="26">
        <v>1.1299999999999999</v>
      </c>
      <c r="G15" s="15" t="s">
        <v>4</v>
      </c>
      <c r="H15" s="16" t="s">
        <v>17</v>
      </c>
    </row>
    <row r="16" spans="5:8" ht="17.149999999999999" x14ac:dyDescent="0.55000000000000004">
      <c r="E16" s="14" t="s">
        <v>16</v>
      </c>
      <c r="F16" s="26">
        <v>1.29</v>
      </c>
      <c r="G16" s="15" t="s">
        <v>4</v>
      </c>
      <c r="H16" s="16" t="s">
        <v>17</v>
      </c>
    </row>
    <row r="17" spans="5:19" ht="16.5" customHeight="1" thickBot="1" x14ac:dyDescent="0.6">
      <c r="E17" s="17" t="s">
        <v>8</v>
      </c>
      <c r="F17" s="27">
        <v>1.1200000000000001</v>
      </c>
      <c r="G17" s="18" t="s">
        <v>4</v>
      </c>
      <c r="H17" s="20" t="s">
        <v>17</v>
      </c>
    </row>
    <row r="18" spans="5:19" hidden="1" x14ac:dyDescent="0.4">
      <c r="E18" s="5" t="s">
        <v>47</v>
      </c>
      <c r="F18" s="6"/>
      <c r="G18" s="6"/>
      <c r="H18" s="8"/>
    </row>
    <row r="19" spans="5:19" ht="17.149999999999999" hidden="1" x14ac:dyDescent="0.55000000000000004">
      <c r="E19" s="6" t="s">
        <v>9</v>
      </c>
      <c r="F19" s="6">
        <f>F11+F15</f>
        <v>2.13</v>
      </c>
      <c r="G19" s="6" t="s">
        <v>4</v>
      </c>
      <c r="H19" s="8"/>
    </row>
    <row r="20" spans="5:19" ht="17.149999999999999" hidden="1" x14ac:dyDescent="0.55000000000000004">
      <c r="E20" s="6" t="s">
        <v>10</v>
      </c>
      <c r="F20" s="6">
        <f>F12+F16</f>
        <v>2.29</v>
      </c>
      <c r="G20" s="6" t="s">
        <v>4</v>
      </c>
      <c r="H20" s="8"/>
    </row>
    <row r="21" spans="5:19" ht="17.149999999999999" hidden="1" x14ac:dyDescent="0.55000000000000004">
      <c r="E21" s="6" t="s">
        <v>8</v>
      </c>
      <c r="F21" s="6">
        <f>F17</f>
        <v>1.1200000000000001</v>
      </c>
      <c r="G21" s="6" t="s">
        <v>4</v>
      </c>
      <c r="H21" s="8"/>
    </row>
    <row r="22" spans="5:19" ht="15" thickBot="1" x14ac:dyDescent="0.45">
      <c r="E22" s="1"/>
      <c r="F22" s="1"/>
      <c r="G22" s="1"/>
      <c r="H22" s="7"/>
    </row>
    <row r="23" spans="5:19" x14ac:dyDescent="0.4">
      <c r="E23" s="28" t="s">
        <v>11</v>
      </c>
      <c r="F23" s="12"/>
      <c r="G23" s="12"/>
      <c r="H23" s="23"/>
    </row>
    <row r="24" spans="5:19" ht="17.149999999999999" x14ac:dyDescent="0.55000000000000004">
      <c r="E24" s="14" t="s">
        <v>40</v>
      </c>
      <c r="F24" s="44">
        <f>0.5*(SQRT(4*F21^2+8*F21*F6-8*F21*F5+4*F6^2-8*F6*F5+4*F5^2+F19^2-2*F19*F20+F20^2)-2*F21-2*F6+2*F5-F19-F20)</f>
        <v>14.550381852875203</v>
      </c>
      <c r="G24" s="15" t="s">
        <v>4</v>
      </c>
      <c r="H24" s="16" t="s">
        <v>18</v>
      </c>
    </row>
    <row r="25" spans="5:19" ht="17.600000000000001" thickBot="1" x14ac:dyDescent="0.6">
      <c r="E25" s="17" t="s">
        <v>39</v>
      </c>
      <c r="F25" s="29">
        <v>15</v>
      </c>
      <c r="G25" s="18" t="s">
        <v>4</v>
      </c>
      <c r="H25" s="20" t="s">
        <v>48</v>
      </c>
      <c r="J25" s="52" t="s">
        <v>51</v>
      </c>
      <c r="K25" s="52"/>
      <c r="L25" s="52"/>
      <c r="M25" s="52"/>
      <c r="N25" s="52"/>
      <c r="O25" s="52"/>
      <c r="P25" s="52"/>
      <c r="Q25" s="53"/>
      <c r="R25" s="53"/>
      <c r="S25" s="53"/>
    </row>
    <row r="26" spans="5:19" ht="15" thickBot="1" x14ac:dyDescent="0.45">
      <c r="E26" s="1"/>
      <c r="F26" s="10"/>
      <c r="G26" s="1"/>
      <c r="H26" s="7"/>
    </row>
    <row r="27" spans="5:19" x14ac:dyDescent="0.4">
      <c r="E27" s="30" t="s">
        <v>30</v>
      </c>
      <c r="F27" s="12"/>
      <c r="G27" s="12"/>
      <c r="H27" s="23"/>
    </row>
    <row r="28" spans="5:19" x14ac:dyDescent="0.4">
      <c r="E28" s="14" t="s">
        <v>22</v>
      </c>
      <c r="F28" s="31">
        <v>27120000</v>
      </c>
      <c r="G28" s="15" t="s">
        <v>23</v>
      </c>
      <c r="H28" s="16" t="s">
        <v>49</v>
      </c>
    </row>
    <row r="29" spans="5:19" x14ac:dyDescent="0.4">
      <c r="E29" s="14" t="s">
        <v>29</v>
      </c>
      <c r="F29" s="26">
        <v>1.8</v>
      </c>
      <c r="G29" s="15" t="s">
        <v>24</v>
      </c>
      <c r="H29" s="16" t="s">
        <v>17</v>
      </c>
    </row>
    <row r="30" spans="5:19" x14ac:dyDescent="0.4">
      <c r="E30" s="14" t="s">
        <v>27</v>
      </c>
      <c r="F30" s="15">
        <v>1</v>
      </c>
      <c r="G30" s="15" t="s">
        <v>4</v>
      </c>
      <c r="H30" s="16" t="s">
        <v>50</v>
      </c>
    </row>
    <row r="31" spans="5:19" hidden="1" x14ac:dyDescent="0.4">
      <c r="E31" s="14" t="s">
        <v>0</v>
      </c>
      <c r="F31" s="15">
        <f>F5*0.000000000001</f>
        <v>9.9999999999999994E-12</v>
      </c>
      <c r="G31" s="15" t="s">
        <v>26</v>
      </c>
      <c r="H31" s="16"/>
    </row>
    <row r="32" spans="5:19" hidden="1" x14ac:dyDescent="0.4">
      <c r="E32" s="14" t="s">
        <v>28</v>
      </c>
      <c r="F32" s="15">
        <f>F30*0.000000000001</f>
        <v>9.9999999999999998E-13</v>
      </c>
      <c r="G32" s="15" t="s">
        <v>26</v>
      </c>
      <c r="H32" s="32"/>
    </row>
    <row r="33" spans="5:8" ht="15" thickBot="1" x14ac:dyDescent="0.45">
      <c r="E33" s="17" t="s">
        <v>21</v>
      </c>
      <c r="F33" s="33">
        <f>F8*(PI()*F28*(F29/SQRT(2))*(F31+F32))^2*1000000</f>
        <v>71.14583895748963</v>
      </c>
      <c r="G33" s="34" t="s">
        <v>25</v>
      </c>
      <c r="H33" s="20" t="s">
        <v>18</v>
      </c>
    </row>
    <row r="34" spans="5:8" ht="15" thickBot="1" x14ac:dyDescent="0.45">
      <c r="E34" s="1"/>
      <c r="F34" s="4"/>
      <c r="G34" s="3"/>
      <c r="H34" s="7"/>
    </row>
    <row r="35" spans="5:8" ht="13.5" customHeight="1" x14ac:dyDescent="0.4">
      <c r="E35" s="35" t="s">
        <v>38</v>
      </c>
      <c r="F35" s="36"/>
      <c r="G35" s="37"/>
      <c r="H35" s="23"/>
    </row>
    <row r="36" spans="5:8" hidden="1" x14ac:dyDescent="0.4">
      <c r="E36" s="38" t="s">
        <v>47</v>
      </c>
      <c r="F36" s="39"/>
      <c r="G36" s="40"/>
      <c r="H36" s="41"/>
    </row>
    <row r="37" spans="5:8" ht="17.149999999999999" hidden="1" x14ac:dyDescent="0.55000000000000004">
      <c r="E37" s="42" t="s">
        <v>39</v>
      </c>
      <c r="F37" s="43">
        <f>F25*0.00000000001</f>
        <v>1.5E-10</v>
      </c>
      <c r="G37" s="40" t="s">
        <v>26</v>
      </c>
      <c r="H37" s="41"/>
    </row>
    <row r="38" spans="5:8" hidden="1" x14ac:dyDescent="0.4">
      <c r="E38" s="42" t="s">
        <v>41</v>
      </c>
      <c r="F38" s="43">
        <f>F5*0.00000000001</f>
        <v>9.9999999999999991E-11</v>
      </c>
      <c r="G38" s="40" t="s">
        <v>26</v>
      </c>
      <c r="H38" s="41"/>
    </row>
    <row r="39" spans="5:8" hidden="1" x14ac:dyDescent="0.4">
      <c r="E39" s="42" t="s">
        <v>42</v>
      </c>
      <c r="F39" s="43">
        <f>F7*0.00000000000001</f>
        <v>1.5399999999999999E-14</v>
      </c>
      <c r="G39" s="40" t="s">
        <v>26</v>
      </c>
      <c r="H39" s="41"/>
    </row>
    <row r="40" spans="5:8" ht="17.149999999999999" hidden="1" x14ac:dyDescent="0.55000000000000004">
      <c r="E40" s="42" t="s">
        <v>9</v>
      </c>
      <c r="F40" s="43">
        <f>F19*0.00000000001</f>
        <v>2.1299999999999997E-11</v>
      </c>
      <c r="G40" s="40" t="s">
        <v>26</v>
      </c>
      <c r="H40" s="41"/>
    </row>
    <row r="41" spans="5:8" ht="17.149999999999999" hidden="1" x14ac:dyDescent="0.55000000000000004">
      <c r="E41" s="42" t="s">
        <v>10</v>
      </c>
      <c r="F41" s="43">
        <f>F20*0.00000000001</f>
        <v>2.29E-11</v>
      </c>
      <c r="G41" s="40" t="s">
        <v>26</v>
      </c>
      <c r="H41" s="41"/>
    </row>
    <row r="42" spans="5:8" hidden="1" x14ac:dyDescent="0.4">
      <c r="E42" s="42" t="s">
        <v>44</v>
      </c>
      <c r="F42" s="43">
        <f>(F21+F6)*0.00000000001</f>
        <v>1.62E-11</v>
      </c>
      <c r="G42" s="40" t="s">
        <v>26</v>
      </c>
      <c r="H42" s="41"/>
    </row>
    <row r="43" spans="5:8" hidden="1" x14ac:dyDescent="0.4">
      <c r="E43" s="42" t="s">
        <v>43</v>
      </c>
      <c r="F43" s="43">
        <f>(F37+F40+2*(F42))/2</f>
        <v>1.0184999999999999E-10</v>
      </c>
      <c r="G43" s="40" t="s">
        <v>26</v>
      </c>
      <c r="H43" s="41"/>
    </row>
    <row r="44" spans="5:8" x14ac:dyDescent="0.4">
      <c r="E44" s="14" t="s">
        <v>38</v>
      </c>
      <c r="F44" s="44">
        <f>F39*(F38-F43)/(2*F38*F43)*1000000</f>
        <v>-1.3986254295532639</v>
      </c>
      <c r="G44" s="45" t="s">
        <v>45</v>
      </c>
      <c r="H44" s="16" t="s">
        <v>18</v>
      </c>
    </row>
    <row r="45" spans="5:8" ht="15" thickBot="1" x14ac:dyDescent="0.45">
      <c r="E45" s="17" t="s">
        <v>46</v>
      </c>
      <c r="F45" s="33">
        <f>F44/2</f>
        <v>-0.69931271477663193</v>
      </c>
      <c r="G45" s="34" t="s">
        <v>45</v>
      </c>
      <c r="H45" s="20" t="s">
        <v>18</v>
      </c>
    </row>
    <row r="46" spans="5:8" ht="15" thickBot="1" x14ac:dyDescent="0.45">
      <c r="E46" s="1"/>
      <c r="H46" s="9"/>
    </row>
    <row r="47" spans="5:8" x14ac:dyDescent="0.4">
      <c r="E47" s="46" t="s">
        <v>31</v>
      </c>
      <c r="F47" s="12"/>
      <c r="G47" s="12"/>
      <c r="H47" s="47"/>
    </row>
    <row r="48" spans="5:8" ht="15" customHeight="1" x14ac:dyDescent="0.4">
      <c r="E48" s="14" t="s">
        <v>22</v>
      </c>
      <c r="F48" s="31">
        <v>27120000</v>
      </c>
      <c r="G48" s="45" t="s">
        <v>23</v>
      </c>
      <c r="H48" s="32"/>
    </row>
    <row r="49" spans="5:16" ht="15" customHeight="1" x14ac:dyDescent="0.4">
      <c r="E49" s="14" t="s">
        <v>32</v>
      </c>
      <c r="F49" s="15">
        <v>12</v>
      </c>
      <c r="G49" s="15" t="s">
        <v>33</v>
      </c>
      <c r="H49" s="16" t="s">
        <v>49</v>
      </c>
    </row>
    <row r="50" spans="5:16" hidden="1" x14ac:dyDescent="0.4">
      <c r="E50" s="38" t="s">
        <v>47</v>
      </c>
      <c r="F50" s="48"/>
      <c r="G50" s="49"/>
      <c r="H50" s="50"/>
    </row>
    <row r="51" spans="5:16" hidden="1" x14ac:dyDescent="0.4">
      <c r="E51" s="42" t="s">
        <v>34</v>
      </c>
      <c r="F51" s="51">
        <f>(F25+F11+F15)*0.000000000001</f>
        <v>1.713E-11</v>
      </c>
      <c r="G51" s="48" t="s">
        <v>26</v>
      </c>
      <c r="H51" s="50"/>
    </row>
    <row r="52" spans="5:16" hidden="1" x14ac:dyDescent="0.4">
      <c r="E52" s="42" t="s">
        <v>35</v>
      </c>
      <c r="F52" s="51">
        <f>(F25+F12+F16)*0.000000000001</f>
        <v>1.7289999999999999E-11</v>
      </c>
      <c r="G52" s="49" t="s">
        <v>26</v>
      </c>
      <c r="H52" s="50"/>
    </row>
    <row r="53" spans="5:16" hidden="1" x14ac:dyDescent="0.4">
      <c r="E53" s="42" t="s">
        <v>36</v>
      </c>
      <c r="F53" s="48">
        <f>(F6+F21)*0.000000000001</f>
        <v>1.6200000000000002E-12</v>
      </c>
      <c r="G53" s="49" t="s">
        <v>26</v>
      </c>
      <c r="H53" s="50"/>
    </row>
    <row r="54" spans="5:16" hidden="1" x14ac:dyDescent="0.4">
      <c r="E54" s="42" t="s">
        <v>32</v>
      </c>
      <c r="F54" s="48">
        <f>F49*0.001</f>
        <v>1.2E-2</v>
      </c>
      <c r="G54" s="49" t="s">
        <v>37</v>
      </c>
      <c r="H54" s="50"/>
    </row>
    <row r="55" spans="5:16" ht="15" thickBot="1" x14ac:dyDescent="0.45">
      <c r="E55" s="17" t="s">
        <v>31</v>
      </c>
      <c r="F55" s="33">
        <f>-(F54*F51*F52)/((2*PI()*F48)^2*(F51*F52+F52*F53+F51*F53)^2+(F54*F53)^2)</f>
        <v>-894.26890882069779</v>
      </c>
      <c r="G55" s="19" t="s">
        <v>6</v>
      </c>
      <c r="H55" s="20" t="s">
        <v>18</v>
      </c>
      <c r="J55" s="52" t="s">
        <v>52</v>
      </c>
      <c r="K55" s="52"/>
      <c r="L55" s="52"/>
      <c r="M55" s="52"/>
      <c r="N55" s="52"/>
      <c r="O55" s="52"/>
      <c r="P55" s="52"/>
    </row>
    <row r="57" spans="5:16" x14ac:dyDescent="0.4">
      <c r="E57" s="1"/>
    </row>
  </sheetData>
  <mergeCells count="2">
    <mergeCell ref="J55:P55"/>
    <mergeCell ref="J25:S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Parizek</dc:creator>
  <cp:lastModifiedBy>Frederick Reinprecht</cp:lastModifiedBy>
  <dcterms:created xsi:type="dcterms:W3CDTF">2024-12-11T09:05:07Z</dcterms:created>
  <dcterms:modified xsi:type="dcterms:W3CDTF">2025-03-05T15:38:55Z</dcterms:modified>
</cp:coreProperties>
</file>