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xa06619\Downloads\"/>
    </mc:Choice>
  </mc:AlternateContent>
  <xr:revisionPtr revIDLastSave="0" documentId="13_ncr:1_{ED4C173D-ED25-427E-97DB-C803283CAB0A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ocument_Details" sheetId="1" r:id="rId1"/>
    <sheet name="Revision_History" sheetId="2" r:id="rId2"/>
    <sheet name="User_Guide" sheetId="3" r:id="rId3"/>
    <sheet name="FS84_QFN48EP_PDTCALC" sheetId="4" r:id="rId4"/>
    <sheet name="System_PDTCALC" sheetId="5" r:id="rId5"/>
    <sheet name="FS84_QFN48EP_UseCase" sheetId="6" r:id="rId6"/>
    <sheet name="Eff_Curves" sheetId="7" state="hidden" r:id="rId7"/>
  </sheets>
  <definedNames>
    <definedName name="Boost" localSheetId="3">FS84_QFN48EP_PDTCALC!$R$13</definedName>
    <definedName name="Boost_Imax" localSheetId="3">FS84_QFN48EP_PDTCALC!$L$4</definedName>
    <definedName name="Buck1" localSheetId="3">FS84_QFN48EP_PDTCALC!$I$47</definedName>
    <definedName name="Buck1_Imax" localSheetId="3">FS84_QFN48EP_PDTCALC!$F$4</definedName>
    <definedName name="Buck3" localSheetId="3">FS84_QFN48EP_PDTCALC!$R$47</definedName>
    <definedName name="Buck3_Imax" localSheetId="3">FS84_QFN48EP_PDTCALC!$H$4</definedName>
    <definedName name="Cin_Boost" localSheetId="3">FS84_QFN48EP_PDTCALC!$L$11</definedName>
    <definedName name="Cin_Buck1" localSheetId="3">FS84_QFN48EP_PDTCALC!$C$45</definedName>
    <definedName name="Cin_Buck3" localSheetId="3">FS84_QFN48EP_PDTCALC!$L$45</definedName>
    <definedName name="Cin_Vpre" localSheetId="3">FS84_QFN48EP_PDTCALC!$C$11</definedName>
    <definedName name="Cout_Boost" localSheetId="3">FS84_QFN48EP_PDTCALC!$L$13</definedName>
    <definedName name="Cout_Buck1" localSheetId="3">FS84_QFN48EP_PDTCALC!$C$47</definedName>
    <definedName name="Cout_Buck3" localSheetId="3">FS84_QFN48EP_PDTCALC!$L$47</definedName>
    <definedName name="Cout_Vpre" localSheetId="3">FS84_QFN48EP_PDTCALC!$C$13</definedName>
    <definedName name="DCR_L_Boost" localSheetId="3">FS84_QFN48EP_PDTCALC!$L$16</definedName>
    <definedName name="DCR_L_Buck1" localSheetId="3">FS84_QFN48EP_PDTCALC!$C$50</definedName>
    <definedName name="DCR_L_Buck3" localSheetId="3">FS84_QFN48EP_PDTCALC!$L$50</definedName>
    <definedName name="DCR_L_Vpre" localSheetId="3">FS84_QFN48EP_PDTCALC!$C$16</definedName>
    <definedName name="DCR_PI_filter">System_PDTCALC!$C$10</definedName>
    <definedName name="Delta_Il_Boost" localSheetId="3">FS84_QFN48EP_PDTCALC!$O$37</definedName>
    <definedName name="Delta_Il_Buck1" localSheetId="3">FS84_QFN48EP_PDTCALC!$F$62</definedName>
    <definedName name="Delta_Il_Buck2" localSheetId="3">FS84_QFN48EP_PDTCALC!#REF!</definedName>
    <definedName name="Delta_IL_Buck3" localSheetId="3">FS84_QFN48EP_PDTCALC!$O$62</definedName>
    <definedName name="Delta_Il_Vpre" localSheetId="3">FS84_QFN48EP_PDTCALC!$F$37</definedName>
    <definedName name="Duty_Cycle_Boost" localSheetId="3">FS84_QFN48EP_PDTCALC!$O$29</definedName>
    <definedName name="Duty_Cycle_Buck1" localSheetId="3">FS84_QFN48EP_PDTCALC!$F$55</definedName>
    <definedName name="Duty_Cycle_Buck2" localSheetId="3">FS84_QFN48EP_PDTCALC!#REF!</definedName>
    <definedName name="Duty_Cycle_Buck3" localSheetId="3">FS84_QFN48EP_PDTCALC!$O$55</definedName>
    <definedName name="Duty_Cycle_Vpre" localSheetId="3">FS84_QFN48EP_PDTCALC!$F$29</definedName>
    <definedName name="Eff_Boost" localSheetId="3">FS84_QFN48EP_PDTCALC!$L$39</definedName>
    <definedName name="Eff_Buck1" localSheetId="3">FS84_QFN48EP_PDTCALC!$C$64</definedName>
    <definedName name="Eff_Buck2" localSheetId="3">FS84_QFN48EP_PDTCALC!#REF!</definedName>
    <definedName name="Eff_Buck3" localSheetId="3">FS84_QFN48EP_PDTCALC!$L$64</definedName>
    <definedName name="Eff_LDO1" localSheetId="3">FS84_QFN48EP_PDTCALC!$U$33</definedName>
    <definedName name="Eff_LDO2" localSheetId="3">FS84_QFN48EP_PDTCALC!$X$33</definedName>
    <definedName name="Eff_Vpre" localSheetId="3">FS84_QFN48EP_PDTCALC!$C$39</definedName>
    <definedName name="ESR_Cin_Boost" localSheetId="3">FS84_QFN48EP_PDTCALC!$L$12</definedName>
    <definedName name="ESR_Cin_Buck1" localSheetId="3">FS84_QFN48EP_PDTCALC!$C$46</definedName>
    <definedName name="ESR_Cin_Buck2" localSheetId="3">FS84_QFN48EP_PDTCALC!#REF!</definedName>
    <definedName name="ESR_Cin_Buck3" localSheetId="3">FS84_QFN48EP_PDTCALC!$L$46</definedName>
    <definedName name="ESR_Cin_Vpre" localSheetId="3">FS84_QFN48EP_PDTCALC!$C$12</definedName>
    <definedName name="ESR_Cout_Boost" localSheetId="3">FS84_QFN48EP_PDTCALC!$L$14</definedName>
    <definedName name="ESR_Cout_Buck1" localSheetId="3">FS84_QFN48EP_PDTCALC!$C$48</definedName>
    <definedName name="ESR_Cout_Buck2" localSheetId="3">FS84_QFN48EP_PDTCALC!#REF!</definedName>
    <definedName name="ESR_Cout_Buck3" localSheetId="3">FS84_QFN48EP_PDTCALC!$L$48</definedName>
    <definedName name="ESR_Cout_Vpre" localSheetId="3">FS84_QFN48EP_PDTCALC!$C$14</definedName>
    <definedName name="FSW_Boost" localSheetId="3">FS84_QFN48EP_PDTCALC!$R$21</definedName>
    <definedName name="FSW_Buck1" localSheetId="3">FS84_QFN48EP_PDTCALC!$I$52</definedName>
    <definedName name="FSW_Buck2" localSheetId="3">FS84_QFN48EP_PDTCALC!#REF!</definedName>
    <definedName name="FSW_Buck3" localSheetId="3">FS84_QFN48EP_PDTCALC!$R$52</definedName>
    <definedName name="FSW_Vpre" localSheetId="3">FS84_QFN48EP_PDTCALC!$I$20</definedName>
    <definedName name="GHS_Buck1" localSheetId="3">FS84_QFN48EP_PDTCALC!$F$48</definedName>
    <definedName name="GHS_Buck2" localSheetId="3">FS84_QFN48EP_PDTCALC!#REF!</definedName>
    <definedName name="GHS_Buck3" localSheetId="3">FS84_QFN48EP_PDTCALC!$O$48</definedName>
    <definedName name="GHS_Vpre" localSheetId="3">FS84_QFN48EP_PDTCALC!$F$11</definedName>
    <definedName name="GLS_Boost" localSheetId="3">FS84_QFN48EP_PDTCALC!$O$11</definedName>
    <definedName name="GLS_Buck1" localSheetId="3">FS84_QFN48EP_PDTCALC!$F$52</definedName>
    <definedName name="GLS_Buck2" localSheetId="3">FS84_QFN48EP_PDTCALC!#REF!</definedName>
    <definedName name="GLS_Buck3" localSheetId="3">FS84_QFN48EP_PDTCALC!$O$52</definedName>
    <definedName name="GLS_Vpre" localSheetId="3">FS84_QFN48EP_PDTCALC!$F$18</definedName>
    <definedName name="HS_Igate_Vpre">FS84_QFN48EP_PDTCALC!$F$16</definedName>
    <definedName name="HS_QGD_Vpre">FS84_QFN48EP_PDTCALC!$F$14</definedName>
    <definedName name="HS_QGS_Vpre">FS84_QFN48EP_PDTCALC!$F$15</definedName>
    <definedName name="HS_Rdson_Buck1" localSheetId="3">FS84_QFN48EP_PDTCALC!$F$45</definedName>
    <definedName name="HS_Rdson_Buck2" localSheetId="3">FS84_QFN48EP_PDTCALC!#REF!</definedName>
    <definedName name="HS_Rdson_Buck3" localSheetId="3">FS84_QFN48EP_PDTCALC!$O$45</definedName>
    <definedName name="HS_Rdson_Vpre" localSheetId="3">FS84_QFN48EP_PDTCALC!$F$12</definedName>
    <definedName name="I_LDO1" localSheetId="3">FS84_QFN48EP_PDTCALC!$U$13</definedName>
    <definedName name="I_LDO2" localSheetId="3">FS84_QFN48EP_PDTCALC!$X$13</definedName>
    <definedName name="I_LDO3">System_PDTCALC!$F$10</definedName>
    <definedName name="I_LDO4">System_PDTCALC!$I$10</definedName>
    <definedName name="Iboost" localSheetId="3">FS84_QFN48EP_PDTCALC!$R$16</definedName>
    <definedName name="Iboost_add">FS84_QFN48EP_PDTCALC!$R$17</definedName>
    <definedName name="Iboost_in" localSheetId="3">FS84_QFN48EP_PDTCALC!$R$14</definedName>
    <definedName name="Iboost_tot">FS84_QFN48EP_PDTCALC!$R$18</definedName>
    <definedName name="Ibuck1" localSheetId="3">FS84_QFN48EP_PDTCALC!$I$49</definedName>
    <definedName name="Ibuck2" localSheetId="3">FS84_QFN48EP_PDTCALC!#REF!</definedName>
    <definedName name="Ibuck3" localSheetId="3">FS84_QFN48EP_PDTCALC!$R$49</definedName>
    <definedName name="Ibuck3_tot" localSheetId="3">FS84_QFN48EP_PDTCALC!$R$50</definedName>
    <definedName name="Ipeak_Boost" localSheetId="3">FS84_QFN48EP_PDTCALC!$O$38</definedName>
    <definedName name="Ipeak_Buck1" localSheetId="3">FS84_QFN48EP_PDTCALC!$F$63</definedName>
    <definedName name="Ipeak_Buck2" localSheetId="3">FS84_QFN48EP_PDTCALC!#REF!</definedName>
    <definedName name="Ipeak_Buck3" localSheetId="3">FS84_QFN48EP_PDTCALC!$O$63</definedName>
    <definedName name="Ipeak_Vpre" localSheetId="3">FS84_QFN48EP_PDTCALC!$F$38</definedName>
    <definedName name="Ipre" localSheetId="3">FS84_QFN48EP_PDTCALC!$I$15</definedName>
    <definedName name="Ipre_add" localSheetId="3">FS84_QFN48EP_PDTCALC!$I$16</definedName>
    <definedName name="ISUP">System_PDTCALC!$C$8</definedName>
    <definedName name="L_Boost" localSheetId="3">FS84_QFN48EP_PDTCALC!$L$15</definedName>
    <definedName name="L_Buck1" localSheetId="3">FS84_QFN48EP_PDTCALC!$C$49</definedName>
    <definedName name="L_Buck2" localSheetId="3">FS84_QFN48EP_PDTCALC!#REF!</definedName>
    <definedName name="L_Buck3" localSheetId="3">FS84_QFN48EP_PDTCALC!$L$49</definedName>
    <definedName name="L_Vpre" localSheetId="3">FS84_QFN48EP_PDTCALC!$C$15</definedName>
    <definedName name="LDO1_Imax" localSheetId="3">FS84_QFN48EP_PDTCALC!$I$4</definedName>
    <definedName name="LDO1_in" localSheetId="3">FS84_QFN48EP_PDTCALC!$U$11</definedName>
    <definedName name="LDO2_Imax" localSheetId="3">FS84_QFN48EP_PDTCALC!$K$4</definedName>
    <definedName name="LDO3_in">System_PDTCALC!$F$8</definedName>
    <definedName name="LDO3_out">System_PDTCALC!$F$9</definedName>
    <definedName name="LDO4_in">System_PDTCALC!$I$8</definedName>
    <definedName name="LDO4_out">System_PDTCALC!$I$9</definedName>
    <definedName name="LS_Igate_Vpre">FS84_QFN48EP_PDTCALC!$F$24</definedName>
    <definedName name="LS_QGD_Vpre">FS84_QFN48EP_PDTCALC!$F$21</definedName>
    <definedName name="LS_QGS_Vpre">FS84_QFN48EP_PDTCALC!$F$22</definedName>
    <definedName name="LS_QRR_VPRE">FS84_QFN48EP_PDTCALC!$F$23</definedName>
    <definedName name="LS_Rdson_Boost" localSheetId="3">FS84_QFN48EP_PDTCALC!$O$12</definedName>
    <definedName name="LS_Rdson_Buck1" localSheetId="3">FS84_QFN48EP_PDTCALC!$F$49</definedName>
    <definedName name="LS_Rdson_Buck2" localSheetId="3">FS84_QFN48EP_PDTCALC!#REF!</definedName>
    <definedName name="LS_Rdson_Buck3" localSheetId="3">FS84_QFN48EP_PDTCALC!$O$49</definedName>
    <definedName name="LS_Rdson_Vpre" localSheetId="3">FS84_QFN48EP_PDTCALC!$F$19</definedName>
    <definedName name="LS_SlewRate">FS84_QFN48EP_PDTCALC!$O$14</definedName>
    <definedName name="P_Cin_Boost" localSheetId="3">FS84_QFN48EP_PDTCALC!$O$31</definedName>
    <definedName name="P_Cin_Buck1" localSheetId="3">FS84_QFN48EP_PDTCALC!$F$57</definedName>
    <definedName name="P_Cin_Buck2" localSheetId="3">FS84_QFN48EP_PDTCALC!#REF!</definedName>
    <definedName name="P_Cin_Buck3" localSheetId="3">FS84_QFN48EP_PDTCALC!$O$57</definedName>
    <definedName name="P_Cin_Vpre" localSheetId="3">FS84_QFN48EP_PDTCALC!$F$32</definedName>
    <definedName name="P_Cout_Boost" localSheetId="3">FS84_QFN48EP_PDTCALC!$O$32</definedName>
    <definedName name="P_Cout_Buck1" localSheetId="3">FS84_QFN48EP_PDTCALC!$F$58</definedName>
    <definedName name="P_Cout_Buck2" localSheetId="3">FS84_QFN48EP_PDTCALC!#REF!</definedName>
    <definedName name="P_Cout_Buck3" localSheetId="3">FS84_QFN48EP_PDTCALC!$O$58</definedName>
    <definedName name="P_Cout_Vpre" localSheetId="3">FS84_QFN48EP_PDTCALC!$F$33</definedName>
    <definedName name="P_diode_Boost" localSheetId="3">FS84_QFN48EP_PDTCALC!$L$33</definedName>
    <definedName name="P_DT">FS84_QFN48EP_PDTCALC!$F$31</definedName>
    <definedName name="P_HS_Cond_Buck1" localSheetId="3">FS84_QFN48EP_PDTCALC!$C$57</definedName>
    <definedName name="P_HS_cond_Buck2" localSheetId="3">FS84_QFN48EP_PDTCALC!#REF!</definedName>
    <definedName name="P_HS_cond_Buck3" localSheetId="3">FS84_QFN48EP_PDTCALC!$L$57</definedName>
    <definedName name="P_HS_Cond_Vpre" localSheetId="3">FS84_QFN48EP_PDTCALC!$C$31</definedName>
    <definedName name="P_HS_sw_Buck1" localSheetId="3">FS84_QFN48EP_PDTCALC!$C$58</definedName>
    <definedName name="P_HS_sw_Buck2" localSheetId="3">FS84_QFN48EP_PDTCALC!#REF!</definedName>
    <definedName name="P_HS_sw_Buck3" localSheetId="3">FS84_QFN48EP_PDTCALC!$L$58</definedName>
    <definedName name="P_HS_sw_Vpre" localSheetId="3">FS84_QFN48EP_PDTCALC!$C$32</definedName>
    <definedName name="P_L_Boost" localSheetId="3">FS84_QFN48EP_PDTCALC!$O$33</definedName>
    <definedName name="P_L_Buck1" localSheetId="3">FS84_QFN48EP_PDTCALC!$F$59</definedName>
    <definedName name="P_L_Buck2" localSheetId="3">FS84_QFN48EP_PDTCALC!#REF!</definedName>
    <definedName name="P_L_Buck3" localSheetId="3">FS84_QFN48EP_PDTCALC!$O$59</definedName>
    <definedName name="P_L_Vpre" localSheetId="3">FS84_QFN48EP_PDTCALC!$F$34</definedName>
    <definedName name="P_LS_cond_Boost" localSheetId="3">FS84_QFN48EP_PDTCALC!$L$31</definedName>
    <definedName name="P_LS_Cond_Buck1" localSheetId="3">FS84_QFN48EP_PDTCALC!$C$59</definedName>
    <definedName name="P_LS_cond_Buck2" localSheetId="3">FS84_QFN48EP_PDTCALC!#REF!</definedName>
    <definedName name="P_LS_cond_Buck3" localSheetId="3">FS84_QFN48EP_PDTCALC!$L$59</definedName>
    <definedName name="P_LS_Cond_Vpre" localSheetId="3">FS84_QFN48EP_PDTCALC!$C$33</definedName>
    <definedName name="P_LS_sw_Boost" localSheetId="3">FS84_QFN48EP_PDTCALC!$L$32</definedName>
    <definedName name="P_LS_sw_Buck1" localSheetId="3">FS84_QFN48EP_PDTCALC!$C$60</definedName>
    <definedName name="P_LS_sw_Buck2" localSheetId="3">FS84_QFN48EP_PDTCALC!#REF!</definedName>
    <definedName name="P_LS_sw_Buck3" localSheetId="3">FS84_QFN48EP_PDTCALC!$L$60</definedName>
    <definedName name="P_LS_sw_Vpre" localSheetId="3">FS84_QFN48EP_PDTCALC!$C$34</definedName>
    <definedName name="P_Qrr">FS84_QFN48EP_PDTCALC!$C$35</definedName>
    <definedName name="P_R_Shunt" localSheetId="3">FS84_QFN48EP_PDTCALC!$F$35</definedName>
    <definedName name="Pdis_IC_Boost" localSheetId="3">FS84_QFN48EP_PDTCALC!$L$38</definedName>
    <definedName name="Pdis_IC_Buck1" localSheetId="3">FS84_QFN48EP_PDTCALC!$C$63</definedName>
    <definedName name="Pdis_IC_Buck2" localSheetId="3">FS84_QFN48EP_PDTCALC!#REF!</definedName>
    <definedName name="Pdis_IC_Buck3" localSheetId="3">FS84_QFN48EP_PDTCALC!$L$63</definedName>
    <definedName name="Pdis_IC_LDO1" localSheetId="3">FS84_QFN48EP_PDTCALC!$U$32</definedName>
    <definedName name="Pdis_IC_LDO2" localSheetId="3">FS84_QFN48EP_PDTCALC!$X$32</definedName>
    <definedName name="Pdis_IC_Vpre" localSheetId="3">FS84_QFN48EP_PDTCALC!$C$38</definedName>
    <definedName name="Pdis_Int_IC" localSheetId="3">FS84_QFN48EP_PDTCALC!$AA$17</definedName>
    <definedName name="Pdis_LDO3" localSheetId="3">FS84_QFN48EP_PDTCALC!$F$16</definedName>
    <definedName name="Pdis_LDO3">System_PDTCALC!$F$16</definedName>
    <definedName name="Pdis_LDO4" localSheetId="3">FS84_QFN48EP_PDTCALC!$I$16</definedName>
    <definedName name="Pdis_LDO4">System_PDTCALC!$I$16</definedName>
    <definedName name="Pdis_PI_filter" localSheetId="3">FS84_QFN48EP_PDTCALC!$C$16</definedName>
    <definedName name="Pdis_PI_filter">System_PDTCALC!$C$16</definedName>
    <definedName name="Pdis_RB_diode" localSheetId="3">FS84_QFN48EP_PDTCALC!$C$15</definedName>
    <definedName name="Pdis_RB_diode">System_PDTCALC!$C$15</definedName>
    <definedName name="Pdis_tot_Boost" localSheetId="3">FS84_QFN48EP_PDTCALC!$L$37</definedName>
    <definedName name="Pdis_tot_Buck1" localSheetId="3">FS84_QFN48EP_PDTCALC!$C$62</definedName>
    <definedName name="Pdis_tot_Buck2" localSheetId="3">FS84_QFN48EP_PDTCALC!#REF!</definedName>
    <definedName name="Pdis_tot_Buck3" localSheetId="3">FS84_QFN48EP_PDTCALC!$L$62</definedName>
    <definedName name="Pdis_tot_Vpre" localSheetId="3">FS84_QFN48EP_PDTCALC!$C$37</definedName>
    <definedName name="Pout_Boost" localSheetId="3">FS84_QFN48EP_PDTCALC!$R$29</definedName>
    <definedName name="Pout_Buck1" localSheetId="3">FS84_QFN48EP_PDTCALC!$I$55</definedName>
    <definedName name="Pout_Buck2" localSheetId="3">FS84_QFN48EP_PDTCALC!#REF!</definedName>
    <definedName name="Pout_Buck3" localSheetId="3">FS84_QFN48EP_PDTCALC!$R$55</definedName>
    <definedName name="Pout_LDO1" localSheetId="3">FS84_QFN48EP_PDTCALC!$U$31</definedName>
    <definedName name="Pout_LDO2" localSheetId="3">FS84_QFN48EP_PDTCALC!$X$31</definedName>
    <definedName name="Pout_LDO3" localSheetId="3">FS84_QFN48EP_PDTCALC!$F$15</definedName>
    <definedName name="Pout_LDO3">System_PDTCALC!$F$15</definedName>
    <definedName name="Pout_LDO4" localSheetId="3">FS84_QFN48EP_PDTCALC!$I$15</definedName>
    <definedName name="Pout_LDO4">System_PDTCALC!$I$15</definedName>
    <definedName name="Pout_Vpre" localSheetId="3">FS84_QFN48EP_PDTCALC!$I$29</definedName>
    <definedName name="QHS_Buck1" localSheetId="3">FS84_QFN48EP_PDTCALC!$F$46</definedName>
    <definedName name="QHS_Buck2" localSheetId="3">FS84_QFN48EP_PDTCALC!#REF!</definedName>
    <definedName name="QHS_Buck3" localSheetId="3">FS84_QFN48EP_PDTCALC!$O$46</definedName>
    <definedName name="QHS_Vpre" localSheetId="3">FS84_QFN48EP_PDTCALC!$F$13</definedName>
    <definedName name="QLS_Boost" localSheetId="3">FS84_QFN48EP_PDTCALC!$O$13</definedName>
    <definedName name="QLS_Buck1" localSheetId="3">FS84_QFN48EP_PDTCALC!$F$50</definedName>
    <definedName name="QLS_Buck2" localSheetId="3">FS84_QFN48EP_PDTCALC!#REF!</definedName>
    <definedName name="QLS_Buck3" localSheetId="3">FS84_QFN48EP_PDTCALC!$O$50</definedName>
    <definedName name="QLS_VPRE" localSheetId="3">FS84_QFN48EP_PDTCALC!$F$20</definedName>
    <definedName name="RB_diode">System_PDTCALC!$C$9</definedName>
    <definedName name="Rg" localSheetId="3">FS84_QFN48EP_PDTCALC!$H$33</definedName>
    <definedName name="Ripple_Boost" localSheetId="3">FS84_QFN48EP_PDTCALC!$O$39</definedName>
    <definedName name="Ripple_Buck1" localSheetId="3">FS84_QFN48EP_PDTCALC!$F$64</definedName>
    <definedName name="Ripple_Buck2" localSheetId="3">FS84_QFN48EP_PDTCALC!#REF!</definedName>
    <definedName name="Ripple_Buck3" localSheetId="3">FS84_QFN48EP_PDTCALC!$O$64</definedName>
    <definedName name="Ripple_vpre" localSheetId="3">FS84_QFN48EP_PDTCALC!$F$39</definedName>
    <definedName name="Rpd" localSheetId="3">FS84_QFN48EP_PDTCALC!$H$32</definedName>
    <definedName name="Rpu" localSheetId="3">FS84_QFN48EP_PDTCALC!$H$31</definedName>
    <definedName name="Rshunt">FS84_QFN48EP_PDTCALC!$C$17</definedName>
    <definedName name="RTH_ja" localSheetId="3">FS84_QFN48EP_PDTCALC!$T$3</definedName>
    <definedName name="THS_sw_Buck1" localSheetId="3">FS84_QFN48EP_PDTCALC!$F$47</definedName>
    <definedName name="THS_sw_Buck2" localSheetId="3">FS84_QFN48EP_PDTCALC!#REF!</definedName>
    <definedName name="THS_sw_Buck3" localSheetId="3">FS84_QFN48EP_PDTCALC!$O$47</definedName>
    <definedName name="THS_sw_Vpre" localSheetId="3">FS84_QFN48EP_PDTCALC!$F$17</definedName>
    <definedName name="TJ_max" localSheetId="3">FS84_QFN48EP_PDTCALC!$T$5</definedName>
    <definedName name="TLS_sw_Boost" localSheetId="3">FS84_QFN48EP_PDTCALC!$O$15</definedName>
    <definedName name="TLS_sw_Buck1" localSheetId="3">FS84_QFN48EP_PDTCALC!$F$51</definedName>
    <definedName name="TLS_sw_Buck2" localSheetId="3">FS84_QFN48EP_PDTCALC!#REF!</definedName>
    <definedName name="TLS_sw_Buck3" localSheetId="3">FS84_QFN48EP_PDTCALC!$O$51</definedName>
    <definedName name="TLS_sw_Vpre" localSheetId="3">FS84_QFN48EP_PDTCALC!$F$25</definedName>
    <definedName name="Vdiode_Boost" localSheetId="3">FS84_QFN48EP_PDTCALC!$L$17</definedName>
    <definedName name="VLDO1" localSheetId="3">FS84_QFN48EP_PDTCALC!$U$12</definedName>
    <definedName name="VLDO2" localSheetId="3">FS84_QFN48EP_PDTCALC!$X$12</definedName>
    <definedName name="Vpre" localSheetId="3">FS84_QFN48EP_PDTCALC!$I$13</definedName>
    <definedName name="Vpre_Imax" localSheetId="3">FS84_QFN48EP_PDTCALC!$E$4</definedName>
    <definedName name="Vsup" localSheetId="3">FS84_QFN48EP_PDTCALC!$I$11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7" i="4" l="1"/>
  <c r="AA33" i="4" s="1"/>
  <c r="F16" i="5" l="1"/>
  <c r="C60" i="4" l="1"/>
  <c r="I16" i="5" l="1"/>
  <c r="L12" i="5" s="1"/>
  <c r="L11" i="5"/>
  <c r="I15" i="5"/>
  <c r="F15" i="5"/>
  <c r="C58" i="4"/>
  <c r="I55" i="4"/>
  <c r="F55" i="4"/>
  <c r="F62" i="4" s="1"/>
  <c r="F58" i="4" s="1"/>
  <c r="R51" i="4"/>
  <c r="R50" i="4"/>
  <c r="I50" i="4"/>
  <c r="L46" i="4"/>
  <c r="C46" i="4"/>
  <c r="R45" i="4"/>
  <c r="L45" i="4"/>
  <c r="I45" i="4"/>
  <c r="C45" i="4"/>
  <c r="C35" i="4"/>
  <c r="X32" i="4"/>
  <c r="AA16" i="4" s="1"/>
  <c r="U32" i="4"/>
  <c r="AA15" i="4" s="1"/>
  <c r="H32" i="4"/>
  <c r="X31" i="4"/>
  <c r="U31" i="4"/>
  <c r="H31" i="4"/>
  <c r="F26" i="4"/>
  <c r="F25" i="4"/>
  <c r="R19" i="4"/>
  <c r="I18" i="4"/>
  <c r="F17" i="4"/>
  <c r="R16" i="4"/>
  <c r="R18" i="4" s="1"/>
  <c r="O15" i="4"/>
  <c r="X14" i="4"/>
  <c r="U14" i="4"/>
  <c r="L12" i="4"/>
  <c r="R11" i="4"/>
  <c r="L11" i="4"/>
  <c r="L15" i="5" l="1"/>
  <c r="X33" i="4"/>
  <c r="AC16" i="4" s="1"/>
  <c r="I17" i="5"/>
  <c r="F17" i="5"/>
  <c r="U33" i="4"/>
  <c r="AC15" i="4" s="1"/>
  <c r="L60" i="4"/>
  <c r="C38" i="4"/>
  <c r="AA11" i="4" s="1"/>
  <c r="O55" i="4"/>
  <c r="O57" i="4" s="1"/>
  <c r="R55" i="4"/>
  <c r="AA31" i="4" s="1"/>
  <c r="L58" i="4"/>
  <c r="C57" i="4"/>
  <c r="C59" i="4"/>
  <c r="F59" i="4"/>
  <c r="F57" i="4"/>
  <c r="R29" i="4"/>
  <c r="O29" i="4"/>
  <c r="R14" i="4" s="1"/>
  <c r="F63" i="4"/>
  <c r="H62" i="4"/>
  <c r="F64" i="4"/>
  <c r="O62" i="4" l="1"/>
  <c r="O63" i="4" s="1"/>
  <c r="L59" i="4"/>
  <c r="L57" i="4"/>
  <c r="L32" i="4"/>
  <c r="O32" i="4"/>
  <c r="L33" i="4"/>
  <c r="O37" i="4"/>
  <c r="O33" i="4" s="1"/>
  <c r="L31" i="4"/>
  <c r="O31" i="4"/>
  <c r="C63" i="4"/>
  <c r="AA13" i="4" s="1"/>
  <c r="C62" i="4"/>
  <c r="C64" i="4" s="1"/>
  <c r="L38" i="4" l="1"/>
  <c r="AA12" i="4" s="1"/>
  <c r="O58" i="4"/>
  <c r="Q62" i="4"/>
  <c r="O64" i="4"/>
  <c r="AC13" i="4"/>
  <c r="O59" i="4"/>
  <c r="L63" i="4"/>
  <c r="AA14" i="4" s="1"/>
  <c r="O38" i="4"/>
  <c r="Q37" i="4"/>
  <c r="O39" i="4"/>
  <c r="L37" i="4"/>
  <c r="L39" i="4" s="1"/>
  <c r="AC12" i="4" l="1"/>
  <c r="L62" i="4"/>
  <c r="L64" i="4" s="1"/>
  <c r="AC14" i="4" s="1"/>
  <c r="AA37" i="4"/>
  <c r="I15" i="4" l="1"/>
  <c r="C32" i="4" s="1"/>
  <c r="C34" i="4" l="1"/>
  <c r="F35" i="4"/>
  <c r="I29" i="4"/>
  <c r="I17" i="4"/>
  <c r="F31" i="4"/>
  <c r="F29" i="4"/>
  <c r="C31" i="4" s="1"/>
  <c r="F37" i="4" l="1"/>
  <c r="F39" i="4" s="1"/>
  <c r="C33" i="4"/>
  <c r="F32" i="4"/>
  <c r="F34" i="4" l="1"/>
  <c r="H37" i="4"/>
  <c r="F38" i="4"/>
  <c r="F33" i="4"/>
  <c r="C37" i="4" l="1"/>
  <c r="AA32" i="4" s="1"/>
  <c r="L8" i="5" s="1"/>
  <c r="C39" i="4" l="1"/>
  <c r="AC11" i="4" s="1"/>
  <c r="AA38" i="4"/>
  <c r="C8" i="5" l="1"/>
  <c r="C16" i="5" s="1"/>
  <c r="L10" i="5" s="1"/>
  <c r="C15" i="5" l="1"/>
  <c r="L9" i="5" s="1"/>
  <c r="L16" i="5" s="1"/>
  <c r="L17" i="5" s="1"/>
</calcChain>
</file>

<file path=xl/sharedStrings.xml><?xml version="1.0" encoding="utf-8"?>
<sst xmlns="http://schemas.openxmlformats.org/spreadsheetml/2006/main" count="508" uniqueCount="298">
  <si>
    <t xml:space="preserve">Document ID: </t>
  </si>
  <si>
    <t xml:space="preserve">Revision: </t>
  </si>
  <si>
    <t>Document Description:</t>
  </si>
  <si>
    <t xml:space="preserve">Related Data Sheet: </t>
  </si>
  <si>
    <t>Related Part Numbers:</t>
  </si>
  <si>
    <t xml:space="preserve">     See datasheet</t>
  </si>
  <si>
    <t>Revision</t>
  </si>
  <si>
    <t>Date</t>
  </si>
  <si>
    <t>Description of changes</t>
  </si>
  <si>
    <t>1.0</t>
  </si>
  <si>
    <t>Initial release</t>
  </si>
  <si>
    <t>0/ Generic comments</t>
  </si>
  <si>
    <t>Vpre Buck Converter</t>
  </si>
  <si>
    <t>The SMPS calculations are valid in PWM and CCM modes only (Pulse Width Modulation and Continuous Current Modes)</t>
  </si>
  <si>
    <t>duty cycle (D)</t>
  </si>
  <si>
    <t>[Vout + (LS_Ron x Iout)] / (Vin - (HS_Ron x Iout) +(LS_Ron x Iout))</t>
  </si>
  <si>
    <t xml:space="preserve">JEDEC thermal resistance used to calculate the maximum ambiant temperature is based on JEDEC JESD51-6 with the board (JESD51-7) horizontal </t>
  </si>
  <si>
    <t>P_HS_cond</t>
  </si>
  <si>
    <t>D x HS_Ron x Iout²</t>
  </si>
  <si>
    <t>External High Side MOS</t>
  </si>
  <si>
    <t>P_HS_sw</t>
  </si>
  <si>
    <t>(Vin x Iout)/2 x 2xHS_Tsw x Fsw</t>
  </si>
  <si>
    <t>System_PDTCAL for a complete system with Vsup protection/filering and external LDOs</t>
  </si>
  <si>
    <t>P_LS_cond</t>
  </si>
  <si>
    <t>(1 - D) x LS_Ron x Iout²</t>
  </si>
  <si>
    <t>External Low Side MOS</t>
  </si>
  <si>
    <t>P_LS_sw</t>
  </si>
  <si>
    <t>(Vbody_diode x Iout)/2 x 2xLS_Tsw x Fsw</t>
  </si>
  <si>
    <t>1/ Fill in Vsup application voltage</t>
  </si>
  <si>
    <t>P_Qrr</t>
  </si>
  <si>
    <t>1/2 x LS_QRR x Vin x Fsw</t>
  </si>
  <si>
    <t>In case of reverse battery protection, Vsup = Vbat - Reverse Battery Diode voltage drop</t>
  </si>
  <si>
    <t>P_DT</t>
  </si>
  <si>
    <t>Vbody_diode x Iout x (DTr + DTf) x Fsw</t>
  </si>
  <si>
    <t>P_Cin</t>
  </si>
  <si>
    <t>ESR_Cin x I_Cin_rms²</t>
  </si>
  <si>
    <t>2/ Fill in Vpre</t>
  </si>
  <si>
    <t>P_Cout</t>
  </si>
  <si>
    <t>ESR_Cout x I_Cout_rms²</t>
  </si>
  <si>
    <t>Vpre voltage from 3.3V to 5V</t>
  </si>
  <si>
    <t>P_L</t>
  </si>
  <si>
    <t>DCR x (Iout² + ΔIL²/12)</t>
  </si>
  <si>
    <t>Pdis_tot</t>
  </si>
  <si>
    <t>P_HS_Cond + P_HS_sw + P_LS_Cond + P_LS_sw + P_Qrr + P_DT + P_Cin + P_Cout + P_L</t>
  </si>
  <si>
    <t>Vpre external load in Ipre_add (max 10A total)</t>
  </si>
  <si>
    <t>Pdis_IC</t>
  </si>
  <si>
    <t>2 x Qg x Vg x Fsw x (Rpu / (2 x (Rpu + Rg)) + Rpd / (2 x (Rpd + Rg))</t>
  </si>
  <si>
    <t>Internal Driver (for same HS and LS ext. MOS)</t>
  </si>
  <si>
    <t xml:space="preserve">h </t>
  </si>
  <si>
    <t>Pout / (Pout + Pdis)</t>
  </si>
  <si>
    <t>3/ Fill in Boost</t>
  </si>
  <si>
    <r>
      <rPr>
        <b/>
        <sz val="10"/>
        <rFont val="Symbol"/>
        <family val="1"/>
        <charset val="2"/>
      </rPr>
      <t>D</t>
    </r>
    <r>
      <rPr>
        <b/>
        <sz val="10"/>
        <rFont val="Calibri"/>
        <family val="2"/>
        <charset val="1"/>
      </rPr>
      <t xml:space="preserve">IL </t>
    </r>
  </si>
  <si>
    <t>(Vin - Vout - HS_Ron x Iout) x D/(Fsw x L)</t>
  </si>
  <si>
    <t>Ipeak</t>
  </si>
  <si>
    <t>Iout + ΔIL/2</t>
  </si>
  <si>
    <t>Boost current is automatically calculated from LDO1 and LDO2 load currents</t>
  </si>
  <si>
    <t>Vout_ripple</t>
  </si>
  <si>
    <t>[Vin x D x (1 - D)] / [(8 x L x Cout x Fsw²] + ESR_Cout x I_Cout_rms</t>
  </si>
  <si>
    <t>4/ Fill in LDO1 and LDO2</t>
  </si>
  <si>
    <t>Select LDO1 and LDO2 voltage (from 1.1V to 5V)</t>
  </si>
  <si>
    <t>LDO1_in voltage (Vpre or Boost)</t>
  </si>
  <si>
    <t>Internal High Side MOS
+ Driver</t>
  </si>
  <si>
    <t>LDO1 current (max 400mA)</t>
  </si>
  <si>
    <t>(Vin x Iout)/2 x 2xHS_Tsw x Fsw + Qg x Vg x Fsw</t>
  </si>
  <si>
    <t>LDO2 current (max 400mA)</t>
  </si>
  <si>
    <t>Internal Low Side MOS
+ Driver</t>
  </si>
  <si>
    <t>(Vbody_diode x Iout)/2 x 2xLS_Tsw x Fsw + Qg x Vg x Fsw</t>
  </si>
  <si>
    <t>Buck3 voltage from 1.0V to 3.3V</t>
  </si>
  <si>
    <t>P_HS_Cond + P_HS_sw +P_LS_Cond + P_LS_sw + P_Cin + P_Cout + P_L</t>
  </si>
  <si>
    <t>P_HS_Cond + P_HS_sw +P_LS_Cond + P_LS_sw</t>
  </si>
  <si>
    <t>7/ Fill in System_PDTCALC sheet if needed</t>
  </si>
  <si>
    <t>Vsup Reverse Battery diode voltage</t>
  </si>
  <si>
    <t>Vsup PI Filter inductor DCR</t>
  </si>
  <si>
    <t>Boost Converter</t>
  </si>
  <si>
    <t xml:space="preserve">LDO3 input/output voltages and current. LDO3_in must be &gt; to LDO3_out. </t>
  </si>
  <si>
    <t>(Vout - Vin + Vdiode) / (Vout + Vdiode - LS_Ron x Iin)</t>
  </si>
  <si>
    <t>If LDO3 is not used I_LDO3=0. If LDO3 is used, I_LDO3 is automatically added to Ipre.</t>
  </si>
  <si>
    <t>D x LS_Ron x Iin²</t>
  </si>
  <si>
    <t>LDO4 input/output voltages and current. LDO4_in must be &gt; to LDO4_out.</t>
  </si>
  <si>
    <t>(Vout x Iin)/2 x 2xLS_Tsw x Fsw + Qg x Vg x Fsw</t>
  </si>
  <si>
    <t xml:space="preserve"> If LDO4 is not used I_LDO4=0. If LDO4 is used, I_LDO4 is automatically added to Ipre.</t>
  </si>
  <si>
    <t>P_diode</t>
  </si>
  <si>
    <t>(1 - D) x Vdiode x Iin</t>
  </si>
  <si>
    <t xml:space="preserve">8/ The Excel tool will calculate </t>
  </si>
  <si>
    <t>The power dissipation of each regulator, the total power dissipation in the IC, and the power dissipation of the system</t>
  </si>
  <si>
    <t>DCR x (Iin² + ΔIL²/12)</t>
  </si>
  <si>
    <t>The efficiency of each regulators,  the total efficiency of the IC, and the efficiency of the system if additinoal ext. LDO are used.</t>
  </si>
  <si>
    <t>P_LS_cond + P_LS_sw + P_diode + P_Cin + P_Cout + P_L</t>
  </si>
  <si>
    <t>The maximum ambiante temperature for a specific setup based on customer Rth_ja and Ta.</t>
  </si>
  <si>
    <t>P_LS_cond + P_LS_sw + P_diode</t>
  </si>
  <si>
    <t>9/ Glossary</t>
  </si>
  <si>
    <t>(D x Vin) / (L x Fsw)</t>
  </si>
  <si>
    <t>Ron</t>
  </si>
  <si>
    <t>RDSon</t>
  </si>
  <si>
    <t>Iin + ΔIL/2</t>
  </si>
  <si>
    <t>LS</t>
  </si>
  <si>
    <t>Low Side</t>
  </si>
  <si>
    <t>(D x Iout) / (Fsw x Cout) + ESR_Cout x I_Cout_rms</t>
  </si>
  <si>
    <t>HS</t>
  </si>
  <si>
    <t>High Side</t>
  </si>
  <si>
    <t>Fsw</t>
  </si>
  <si>
    <t>Switching Frequency</t>
  </si>
  <si>
    <t>Best of Supply</t>
  </si>
  <si>
    <t>Tsw</t>
  </si>
  <si>
    <t>Switching Time</t>
  </si>
  <si>
    <t>I_BOS_Vpre</t>
  </si>
  <si>
    <t>2 x Qg x Fsw</t>
  </si>
  <si>
    <t>Average current</t>
  </si>
  <si>
    <t>rms</t>
  </si>
  <si>
    <t>Root Mean Square value</t>
  </si>
  <si>
    <t>I_BOS_Vboost</t>
  </si>
  <si>
    <t>Qg x Fsw</t>
  </si>
  <si>
    <t>ΔIL</t>
  </si>
  <si>
    <t>Delta current in the inductor</t>
  </si>
  <si>
    <t>L</t>
  </si>
  <si>
    <t>Inductor value</t>
  </si>
  <si>
    <t>Qg</t>
  </si>
  <si>
    <t>MOSFET Gate Charge</t>
  </si>
  <si>
    <t>Qrr</t>
  </si>
  <si>
    <t>Reverse Recovery Charge</t>
  </si>
  <si>
    <t>Vg</t>
  </si>
  <si>
    <t>Gate Drive Voltage</t>
  </si>
  <si>
    <t>Rpu</t>
  </si>
  <si>
    <t>Gate Driver Pull up Resistor</t>
  </si>
  <si>
    <t>Rpd</t>
  </si>
  <si>
    <t>Gate Driver Pull down Resistor</t>
  </si>
  <si>
    <t>Rg</t>
  </si>
  <si>
    <t>Gate serial Resistor</t>
  </si>
  <si>
    <t>DCR</t>
  </si>
  <si>
    <t>Inductor serial parasitic resistor</t>
  </si>
  <si>
    <t>ESR</t>
  </si>
  <si>
    <t>Capacitor serial parasitic resistor</t>
  </si>
  <si>
    <t>DT</t>
  </si>
  <si>
    <t>Dead Time</t>
  </si>
  <si>
    <t>FILL ORANGE CELLS BASED ON EXTERNAL DEVICES CHARACTERISTICS</t>
  </si>
  <si>
    <t>Regulator</t>
  </si>
  <si>
    <t>Vpre</t>
  </si>
  <si>
    <t>Buck1</t>
  </si>
  <si>
    <t>Buck3</t>
  </si>
  <si>
    <t>LDO1</t>
  </si>
  <si>
    <t>LDO2</t>
  </si>
  <si>
    <t>Boost</t>
  </si>
  <si>
    <t>Rth_ja</t>
  </si>
  <si>
    <t>Max output current</t>
  </si>
  <si>
    <t>Ta max</t>
  </si>
  <si>
    <t>Tj max</t>
  </si>
  <si>
    <t>SMPS calculations are valid in PWM mode and CCM mode</t>
  </si>
  <si>
    <t>Vpre SMPS (adj from 3.3V to 5V)</t>
  </si>
  <si>
    <t>Boost SMPS (5V or 5.74V)</t>
  </si>
  <si>
    <r>
      <rPr>
        <b/>
        <sz val="11"/>
        <rFont val="Arial"/>
        <family val="2"/>
        <charset val="1"/>
      </rPr>
      <t xml:space="preserve">LDO1
</t>
    </r>
    <r>
      <rPr>
        <b/>
        <sz val="9"/>
        <rFont val="Arial"/>
        <family val="2"/>
        <charset val="1"/>
      </rPr>
      <t xml:space="preserve"> (adj from 1.1V to 5V)</t>
    </r>
  </si>
  <si>
    <r>
      <rPr>
        <b/>
        <sz val="11"/>
        <rFont val="Arial"/>
        <family val="2"/>
        <charset val="1"/>
      </rPr>
      <t xml:space="preserve">LDO2
</t>
    </r>
    <r>
      <rPr>
        <b/>
        <sz val="9"/>
        <rFont val="Arial"/>
        <family val="2"/>
        <charset val="1"/>
      </rPr>
      <t xml:space="preserve"> (adj from 1.1V to 5V)</t>
    </r>
  </si>
  <si>
    <t>Ext. R, L, C</t>
  </si>
  <si>
    <t>Ext. MOSFETs</t>
  </si>
  <si>
    <t>Converter</t>
  </si>
  <si>
    <t>Ext. C, L and D</t>
  </si>
  <si>
    <t>Int. MOSFET</t>
  </si>
  <si>
    <t>Pdis</t>
  </si>
  <si>
    <r>
      <rPr>
        <b/>
        <sz val="9"/>
        <rFont val="Symbol"/>
        <family val="1"/>
        <charset val="2"/>
      </rPr>
      <t>h</t>
    </r>
    <r>
      <rPr>
        <b/>
        <sz val="9"/>
        <rFont val="Arial"/>
        <family val="2"/>
        <charset val="1"/>
      </rPr>
      <t xml:space="preserve"> </t>
    </r>
  </si>
  <si>
    <t>Cin</t>
  </si>
  <si>
    <t>GHS_drive</t>
  </si>
  <si>
    <t>Vsup</t>
  </si>
  <si>
    <t>GLS_drive</t>
  </si>
  <si>
    <t>LDO1_in</t>
  </si>
  <si>
    <t>ESR Cin</t>
  </si>
  <si>
    <t>HS_Rdson</t>
  </si>
  <si>
    <t>LS_Rdson</t>
  </si>
  <si>
    <t>Cout</t>
  </si>
  <si>
    <t>HS_QGtot</t>
  </si>
  <si>
    <t>QLS</t>
  </si>
  <si>
    <t>I_LDO1</t>
  </si>
  <si>
    <t>I_LDO2</t>
  </si>
  <si>
    <t>ESR Cout</t>
  </si>
  <si>
    <t>HS_QGD</t>
  </si>
  <si>
    <t>LS_SlewRate</t>
  </si>
  <si>
    <t>Iboost_in</t>
  </si>
  <si>
    <t>L coil</t>
  </si>
  <si>
    <t>HS_QGS</t>
  </si>
  <si>
    <t>Ipre</t>
  </si>
  <si>
    <t>TLS_sw</t>
  </si>
  <si>
    <t>DCR coil</t>
  </si>
  <si>
    <t>HS_Igate</t>
  </si>
  <si>
    <t>Ipre_add</t>
  </si>
  <si>
    <t>Iboost</t>
  </si>
  <si>
    <t>R shunt</t>
  </si>
  <si>
    <t>THS_sw</t>
  </si>
  <si>
    <t>Ipre_tot</t>
  </si>
  <si>
    <t>Vdiode</t>
  </si>
  <si>
    <t>Iboost_add</t>
  </si>
  <si>
    <t>Iboost_tot</t>
  </si>
  <si>
    <t>Int. IC</t>
  </si>
  <si>
    <t>-</t>
  </si>
  <si>
    <t>LS_QGtot</t>
  </si>
  <si>
    <t xml:space="preserve">Freq </t>
  </si>
  <si>
    <t>LS_QGD</t>
  </si>
  <si>
    <t>LS_QGS</t>
  </si>
  <si>
    <t>LS_QRR</t>
  </si>
  <si>
    <t>LS_Igate</t>
  </si>
  <si>
    <t>I_BOS</t>
  </si>
  <si>
    <t>duty cycle</t>
  </si>
  <si>
    <t>Pout</t>
  </si>
  <si>
    <t>duty_cycle</t>
  </si>
  <si>
    <t>Pout_tot</t>
  </si>
  <si>
    <r>
      <rPr>
        <b/>
        <sz val="10"/>
        <rFont val="Symbol"/>
        <family val="1"/>
        <charset val="2"/>
      </rPr>
      <t>h</t>
    </r>
    <r>
      <rPr>
        <b/>
        <sz val="8"/>
        <rFont val="Arial"/>
        <family val="2"/>
        <charset val="1"/>
      </rPr>
      <t xml:space="preserve"> </t>
    </r>
  </si>
  <si>
    <t>Pdis_tot_IC</t>
  </si>
  <si>
    <t>P_R</t>
  </si>
  <si>
    <r>
      <rPr>
        <b/>
        <sz val="8"/>
        <rFont val="Symbol"/>
        <family val="1"/>
        <charset val="2"/>
      </rPr>
      <t>D</t>
    </r>
    <r>
      <rPr>
        <b/>
        <sz val="8"/>
        <rFont val="Arial"/>
        <family val="2"/>
        <charset val="1"/>
      </rPr>
      <t xml:space="preserve">IL </t>
    </r>
  </si>
  <si>
    <t>Max_Ta</t>
  </si>
  <si>
    <r>
      <rPr>
        <b/>
        <sz val="9"/>
        <rFont val="Symbol"/>
        <family val="1"/>
        <charset val="2"/>
      </rPr>
      <t>h</t>
    </r>
    <r>
      <rPr>
        <b/>
        <sz val="9"/>
        <rFont val="Arial"/>
        <family val="2"/>
        <charset val="1"/>
      </rPr>
      <t xml:space="preserve"> tot_IC</t>
    </r>
  </si>
  <si>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Vpre</t>
    </r>
  </si>
  <si>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Boost</t>
    </r>
  </si>
  <si>
    <t>Buck1 SMPS (adj from 0.8V to 1.8V)</t>
  </si>
  <si>
    <t>Buck3 SMPS (adj from 1.0V to 3.3V)</t>
  </si>
  <si>
    <t>Ext. C and L</t>
  </si>
  <si>
    <t>Int. MOSFETs</t>
  </si>
  <si>
    <t>QHS</t>
  </si>
  <si>
    <t>Ibuck1</t>
  </si>
  <si>
    <t>Ibuck3</t>
  </si>
  <si>
    <t>Ibuck3_tot</t>
  </si>
  <si>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Buck1</t>
    </r>
  </si>
  <si>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Buck3</t>
    </r>
  </si>
  <si>
    <t>VPRE_FREQ 
(KHz)</t>
  </si>
  <si>
    <t>VPRE_OUT
(V)</t>
  </si>
  <si>
    <t>VPRE_SR</t>
  </si>
  <si>
    <t>BOOST_OUT
(V)</t>
  </si>
  <si>
    <t>BOOST_SR
(V/us)</t>
  </si>
  <si>
    <t>LDO1_IN</t>
  </si>
  <si>
    <t>LDO1/2_OUT
(V)</t>
  </si>
  <si>
    <t>BUCK1/2_OUT
(V)</t>
  </si>
  <si>
    <t>BUCK3_OUT
(V)</t>
  </si>
  <si>
    <t>Vsup RB protection
and PI filter</t>
  </si>
  <si>
    <t>LDO3 (external)</t>
  </si>
  <si>
    <t>LDO4 (external)</t>
  </si>
  <si>
    <t>System Summary</t>
  </si>
  <si>
    <t>Isup</t>
  </si>
  <si>
    <t>LDO3_in</t>
  </si>
  <si>
    <t>LDO4_in</t>
  </si>
  <si>
    <t>RB_diode</t>
  </si>
  <si>
    <t>LDO3_out</t>
  </si>
  <si>
    <t>LDO4_out</t>
  </si>
  <si>
    <t>DCR PI_filter</t>
  </si>
  <si>
    <t>I_LDO3</t>
  </si>
  <si>
    <t>I_LDO4</t>
  </si>
  <si>
    <t>PI_filter</t>
  </si>
  <si>
    <t>LDO3</t>
  </si>
  <si>
    <t>LDO4</t>
  </si>
  <si>
    <t>Pdis_RB_diode</t>
  </si>
  <si>
    <t>Pout_system</t>
  </si>
  <si>
    <t>Pdis_PI_filter</t>
  </si>
  <si>
    <t>Pdis_system</t>
  </si>
  <si>
    <r>
      <rPr>
        <b/>
        <sz val="9"/>
        <rFont val="Symbol"/>
        <family val="1"/>
        <charset val="2"/>
      </rPr>
      <t>h</t>
    </r>
    <r>
      <rPr>
        <b/>
        <sz val="9"/>
        <rFont val="Arial"/>
        <family val="2"/>
        <charset val="1"/>
      </rPr>
      <t xml:space="preserve"> system</t>
    </r>
  </si>
  <si>
    <t>LDO3 and LDO4 can be used or not when required at application level</t>
  </si>
  <si>
    <r>
      <rPr>
        <b/>
        <u/>
        <sz val="10"/>
        <color rgb="FFFF0000"/>
        <rFont val="Arial"/>
        <family val="2"/>
        <charset val="1"/>
      </rPr>
      <t>Note:</t>
    </r>
    <r>
      <rPr>
        <sz val="10"/>
        <rFont val="Arial"/>
        <family val="2"/>
        <charset val="1"/>
      </rPr>
      <t xml:space="preserve"> VPRE external components characeristics must be filled in FS85_PDTCALC sheet before tracing the curves.</t>
    </r>
  </si>
  <si>
    <t>455kHz</t>
  </si>
  <si>
    <t>2.22MHz</t>
  </si>
  <si>
    <t>Rdson
heat</t>
  </si>
  <si>
    <t>Rdson
cycling</t>
  </si>
  <si>
    <t>Yes</t>
  </si>
  <si>
    <t>5V_Eff</t>
  </si>
  <si>
    <t>4.1V_Eff</t>
  </si>
  <si>
    <t>3.3V_Eff</t>
  </si>
  <si>
    <t>No</t>
  </si>
  <si>
    <t>VPRE=5V</t>
  </si>
  <si>
    <t>VPRE=4.1V</t>
  </si>
  <si>
    <t>VPRE=3.3V</t>
  </si>
  <si>
    <t>0.8V_Eff</t>
  </si>
  <si>
    <t>1.25V_Eff</t>
  </si>
  <si>
    <t>1.8V_Eff</t>
  </si>
  <si>
    <t>1.2V_Eff</t>
  </si>
  <si>
    <t>2.3V_Eff</t>
  </si>
  <si>
    <t>Vpre5V_Vboost5.74V</t>
  </si>
  <si>
    <t>Vpre4.1V_Vboost5.74V</t>
  </si>
  <si>
    <t>Vpre4.1V_Vboost5V</t>
  </si>
  <si>
    <t>Vpre3.3V_Vboost5V</t>
  </si>
  <si>
    <t xml:space="preserve">     FS84_QFN48EP_PDTCALC</t>
  </si>
  <si>
    <t xml:space="preserve">      The Power Dissipation Tool calculates the power dissipation of the FS84_QFN48EP series based on application use case</t>
  </si>
  <si>
    <t xml:space="preserve">    FS84_QFN48EP_Fail Safe System Basis Chip with multiple SMPS and LDO rev x.x and above</t>
  </si>
  <si>
    <r>
      <t xml:space="preserve">FS84_QFN48EP Power Dissipation Calculation tool </t>
    </r>
    <r>
      <rPr>
        <b/>
        <u/>
        <sz val="12"/>
        <rFont val="Arial"/>
        <family val="2"/>
        <charset val="1"/>
      </rPr>
      <t>user</t>
    </r>
    <r>
      <rPr>
        <b/>
        <sz val="12"/>
        <rFont val="Arial"/>
        <family val="2"/>
        <charset val="1"/>
      </rPr>
      <t xml:space="preserve"> guide</t>
    </r>
  </si>
  <si>
    <t>FS84_QFN48EP_PDTCAL for FS84_QFN48EP and its required external components</t>
  </si>
  <si>
    <t>Vpre switching frequency based on FS84_QFN48EP configuration</t>
  </si>
  <si>
    <t>Boost switching frequency based on FS84_QFN48EP configuration</t>
  </si>
  <si>
    <t>Buck1 voltage from 0.8V to 1.8V</t>
  </si>
  <si>
    <t>Buck1, 3 switching frequencies based on FS84_QFN48EP configuration</t>
  </si>
  <si>
    <t>Buck1, 3 load currents (max 2.5A)</t>
  </si>
  <si>
    <t>6/ Adjust FS84_QFN48EP External Components characteristics if need</t>
  </si>
  <si>
    <r>
      <t xml:space="preserve">FS84_QFN48EP Power Dissipation Calculation tool </t>
    </r>
    <r>
      <rPr>
        <b/>
        <u/>
        <sz val="12"/>
        <rFont val="Arial"/>
        <family val="2"/>
        <charset val="1"/>
      </rPr>
      <t>formula</t>
    </r>
    <r>
      <rPr>
        <b/>
        <sz val="12"/>
        <rFont val="Arial"/>
        <family val="2"/>
        <charset val="1"/>
      </rPr>
      <t xml:space="preserve"> guide</t>
    </r>
  </si>
  <si>
    <t>Buck1, 3 Converters</t>
  </si>
  <si>
    <t>FILL YELLOW CELLS BASED ON FS84_QFN48EP SETUP</t>
  </si>
  <si>
    <t>FS84_QFN48EP Summary</t>
  </si>
  <si>
    <t>FS8416_Generic_UseCase</t>
  </si>
  <si>
    <t>5/ Fill in Buck1, 3</t>
  </si>
  <si>
    <t>Low noise LDO3 in between Vpre and Eagle input supply</t>
  </si>
  <si>
    <t>LDO3 and LDO4 in between Buck3 and Dolphin input supplies</t>
  </si>
  <si>
    <t>FS8406_RR_Eagle_UseCase</t>
  </si>
  <si>
    <t>FS8416_RR_Dolphin_UseCase</t>
  </si>
  <si>
    <t>FS8416 + Other use case</t>
  </si>
  <si>
    <t>FS8406 + Eagle use case</t>
  </si>
  <si>
    <t>FS8416 + Dolphin use case</t>
  </si>
  <si>
    <t>Correct default value for all regulators load to 0mA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</si>
</sst>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0.00&quot; W&quot;"/>
    <numFmt numFmtId="165" formatCode="0&quot; °C/W&quot;"/>
    <numFmt numFmtId="166" formatCode="0.0&quot; A&quot;"/>
    <numFmt numFmtId="167" formatCode="0.0&quot; mA&quot;"/>
    <numFmt numFmtId="168" formatCode="0&quot; °C&quot;"/>
    <numFmt numFmtId="169" formatCode="0&quot; µF&quot;"/>
    <numFmt numFmtId="170" formatCode="0.0&quot; V&quot;"/>
    <numFmt numFmtId="171" formatCode="0.00&quot; V&quot;"/>
    <numFmt numFmtId="172" formatCode="0.000&quot; W&quot;"/>
    <numFmt numFmtId="173" formatCode="0.0%"/>
    <numFmt numFmtId="174" formatCode="0.0&quot; mΩ&quot;"/>
    <numFmt numFmtId="175" formatCode="0.0&quot; nC&quot;"/>
    <numFmt numFmtId="176" formatCode="0.000"/>
    <numFmt numFmtId="177" formatCode="0&quot; mV/us&quot;"/>
    <numFmt numFmtId="178" formatCode="0.00&quot; A&quot;"/>
    <numFmt numFmtId="179" formatCode="0.0&quot; µH&quot;"/>
    <numFmt numFmtId="180" formatCode="0.00&quot; ns&quot;"/>
    <numFmt numFmtId="181" formatCode="0&quot; pF&quot;"/>
    <numFmt numFmtId="182" formatCode="0.000&quot; A&quot;"/>
    <numFmt numFmtId="183" formatCode="0&quot; kHz&quot;"/>
    <numFmt numFmtId="184" formatCode="0&quot; mV&quot;"/>
    <numFmt numFmtId="185" formatCode="0.0&quot; W&quot;"/>
    <numFmt numFmtId="186" formatCode="0.0000&quot; W&quot;"/>
    <numFmt numFmtId="187" formatCode="0.00&quot; °C&quot;"/>
    <numFmt numFmtId="188" formatCode="0.000&quot; µs&quot;"/>
    <numFmt numFmtId="189" formatCode="0.00&quot; mV&quot;"/>
    <numFmt numFmtId="190" formatCode="0.00000&quot; W&quot;"/>
  </numFmts>
  <fonts count="37" x14ac:knownFonts="1">
    <font>
      <sz val="10"/>
      <name val="Arial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u/>
      <sz val="11"/>
      <name val="Arial"/>
      <family val="2"/>
      <charset val="1"/>
    </font>
    <font>
      <b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u/>
      <sz val="12"/>
      <name val="Arial"/>
      <family val="2"/>
      <charset val="1"/>
    </font>
    <font>
      <b/>
      <sz val="10"/>
      <color rgb="FF0000FF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Symbol"/>
      <family val="1"/>
      <charset val="2"/>
    </font>
    <font>
      <b/>
      <sz val="10"/>
      <color rgb="FF0066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FF0000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Symbol"/>
      <family val="1"/>
      <charset val="2"/>
    </font>
    <font>
      <sz val="8"/>
      <color rgb="FFFFFFFF"/>
      <name val="Arial"/>
      <family val="2"/>
      <charset val="1"/>
    </font>
    <font>
      <sz val="8"/>
      <color rgb="FFA6A6A6"/>
      <name val="Arial"/>
      <family val="2"/>
      <charset val="1"/>
    </font>
    <font>
      <b/>
      <sz val="8"/>
      <name val="Symbol"/>
      <family val="1"/>
      <charset val="2"/>
    </font>
    <font>
      <sz val="10"/>
      <color rgb="FFFFFFFF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u/>
      <sz val="10"/>
      <color rgb="FFFF0000"/>
      <name val="Arial"/>
      <family val="2"/>
      <charset val="1"/>
    </font>
    <font>
      <sz val="10"/>
      <color rgb="FF808080"/>
      <name val="Arial"/>
      <family val="2"/>
      <charset val="1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D7E4BD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CD5B5"/>
        <bgColor rgb="FFFFC7CE"/>
      </patternFill>
    </fill>
    <fill>
      <patternFill patternType="solid">
        <fgColor rgb="FFCCC1DA"/>
        <bgColor rgb="FFBFBFBF"/>
      </patternFill>
    </fill>
    <fill>
      <patternFill patternType="solid">
        <fgColor rgb="FFE6B9B8"/>
        <bgColor rgb="FFFFC7CE"/>
      </patternFill>
    </fill>
    <fill>
      <patternFill patternType="solid">
        <fgColor rgb="FFD7E4BD"/>
        <bgColor rgb="FFD9D9D9"/>
      </patternFill>
    </fill>
    <fill>
      <patternFill patternType="solid">
        <fgColor rgb="FFB7DEE8"/>
        <bgColor rgb="FFD9D9D9"/>
      </patternFill>
    </fill>
    <fill>
      <patternFill patternType="solid">
        <fgColor rgb="FF969696"/>
        <bgColor rgb="FFA6A6A6"/>
      </patternFill>
    </fill>
    <fill>
      <patternFill patternType="solid">
        <fgColor rgb="FF808080"/>
        <bgColor rgb="FF969696"/>
      </patternFill>
    </fill>
    <fill>
      <patternFill patternType="solid">
        <fgColor rgb="FF92D050"/>
        <bgColor rgb="FF9BBB59"/>
      </patternFill>
    </fill>
    <fill>
      <patternFill patternType="solid">
        <fgColor rgb="FF56EE32"/>
        <bgColor rgb="FF92D050"/>
      </patternFill>
    </fill>
    <fill>
      <patternFill patternType="solid">
        <fgColor rgb="FF000000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33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36" fillId="0" borderId="0" applyBorder="0" applyProtection="0"/>
    <xf numFmtId="0" fontId="2" fillId="0" borderId="0"/>
  </cellStyleXfs>
  <cellXfs count="25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7" fillId="4" borderId="0" xfId="2" applyFont="1" applyFill="1" applyAlignment="1">
      <alignment vertical="center"/>
    </xf>
    <xf numFmtId="0" fontId="8" fillId="4" borderId="0" xfId="2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7" fillId="5" borderId="0" xfId="2" applyFont="1" applyFill="1" applyAlignment="1">
      <alignment vertical="center"/>
    </xf>
    <xf numFmtId="0" fontId="11" fillId="5" borderId="0" xfId="2" applyFont="1" applyFill="1" applyAlignment="1">
      <alignment vertical="center"/>
    </xf>
    <xf numFmtId="0" fontId="11" fillId="4" borderId="0" xfId="2" applyFont="1" applyFill="1" applyAlignment="1">
      <alignment vertical="center"/>
    </xf>
    <xf numFmtId="0" fontId="11" fillId="3" borderId="0" xfId="2" applyFont="1" applyFill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2" fillId="5" borderId="0" xfId="2" applyFill="1" applyAlignment="1">
      <alignment vertical="center"/>
    </xf>
    <xf numFmtId="0" fontId="13" fillId="5" borderId="0" xfId="2" applyFont="1" applyFill="1" applyAlignment="1">
      <alignment vertical="center"/>
    </xf>
    <xf numFmtId="0" fontId="2" fillId="4" borderId="0" xfId="2" applyFill="1" applyAlignment="1">
      <alignment vertical="center"/>
    </xf>
    <xf numFmtId="0" fontId="14" fillId="5" borderId="1" xfId="2" applyFont="1" applyFill="1" applyBorder="1" applyAlignment="1" applyProtection="1">
      <alignment horizontal="right" vertical="center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0" xfId="0" applyFont="1" applyFill="1" applyAlignment="1">
      <alignment vertical="center"/>
    </xf>
    <xf numFmtId="0" fontId="15" fillId="5" borderId="0" xfId="2" applyFont="1" applyFill="1" applyAlignment="1">
      <alignment vertical="center"/>
    </xf>
    <xf numFmtId="0" fontId="12" fillId="5" borderId="1" xfId="0" applyFont="1" applyFill="1" applyBorder="1" applyAlignment="1">
      <alignment horizontal="left" vertical="center" wrapText="1"/>
    </xf>
    <xf numFmtId="0" fontId="16" fillId="5" borderId="1" xfId="2" applyFont="1" applyFill="1" applyBorder="1" applyAlignment="1" applyProtection="1">
      <alignment horizontal="right" vertical="center"/>
    </xf>
    <xf numFmtId="0" fontId="12" fillId="5" borderId="0" xfId="0" applyFont="1" applyFill="1" applyAlignment="1">
      <alignment horizontal="left" vertical="center"/>
    </xf>
    <xf numFmtId="0" fontId="17" fillId="5" borderId="0" xfId="2" applyFont="1" applyFill="1" applyAlignment="1">
      <alignment vertical="center"/>
    </xf>
    <xf numFmtId="0" fontId="13" fillId="5" borderId="0" xfId="2" applyFont="1" applyFill="1" applyAlignment="1">
      <alignment horizontal="right" vertical="center"/>
    </xf>
    <xf numFmtId="0" fontId="11" fillId="3" borderId="2" xfId="2" applyFont="1" applyFill="1" applyBorder="1" applyAlignment="1">
      <alignment horizontal="right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4" fillId="5" borderId="3" xfId="2" applyFont="1" applyFill="1" applyBorder="1" applyAlignment="1" applyProtection="1">
      <alignment horizontal="right" vertical="center"/>
    </xf>
    <xf numFmtId="0" fontId="12" fillId="5" borderId="3" xfId="0" applyFont="1" applyFill="1" applyBorder="1" applyAlignment="1">
      <alignment vertical="center"/>
    </xf>
    <xf numFmtId="0" fontId="12" fillId="5" borderId="3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/>
    </xf>
    <xf numFmtId="0" fontId="18" fillId="2" borderId="0" xfId="2" applyFont="1" applyFill="1" applyBorder="1" applyAlignment="1" applyProtection="1">
      <alignment horizontal="center" vertical="center" wrapText="1"/>
    </xf>
    <xf numFmtId="0" fontId="19" fillId="2" borderId="0" xfId="2" applyFont="1" applyFill="1" applyAlignment="1" applyProtection="1">
      <alignment horizontal="center" vertical="center"/>
    </xf>
    <xf numFmtId="0" fontId="19" fillId="0" borderId="0" xfId="2" applyFont="1" applyAlignment="1" applyProtection="1">
      <alignment vertical="center"/>
    </xf>
    <xf numFmtId="0" fontId="19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20" fillId="0" borderId="0" xfId="2" applyFont="1" applyAlignment="1" applyProtection="1">
      <alignment vertical="center"/>
    </xf>
    <xf numFmtId="0" fontId="21" fillId="2" borderId="0" xfId="2" applyFont="1" applyFill="1" applyAlignment="1" applyProtection="1">
      <alignment vertical="center"/>
    </xf>
    <xf numFmtId="0" fontId="21" fillId="2" borderId="0" xfId="2" applyFont="1" applyFill="1" applyAlignment="1" applyProtection="1">
      <alignment horizontal="center" vertical="center"/>
    </xf>
    <xf numFmtId="0" fontId="21" fillId="0" borderId="0" xfId="2" applyFont="1" applyAlignment="1" applyProtection="1">
      <alignment vertical="center"/>
    </xf>
    <xf numFmtId="0" fontId="21" fillId="0" borderId="0" xfId="2" applyFont="1" applyAlignment="1" applyProtection="1">
      <alignment horizontal="center" vertical="center"/>
    </xf>
    <xf numFmtId="0" fontId="22" fillId="0" borderId="0" xfId="2" applyFont="1" applyAlignment="1" applyProtection="1">
      <alignment vertical="center"/>
    </xf>
    <xf numFmtId="0" fontId="22" fillId="0" borderId="0" xfId="2" applyFont="1" applyAlignment="1" applyProtection="1">
      <alignment horizontal="center" vertical="center"/>
    </xf>
    <xf numFmtId="0" fontId="23" fillId="7" borderId="1" xfId="2" applyFont="1" applyFill="1" applyBorder="1" applyAlignment="1" applyProtection="1">
      <alignment horizontal="center" vertical="center" wrapText="1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0" xfId="2" applyFont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/>
    </xf>
    <xf numFmtId="0" fontId="23" fillId="9" borderId="1" xfId="2" applyFont="1" applyFill="1" applyBorder="1" applyAlignment="1" applyProtection="1">
      <alignment horizontal="center" vertical="center"/>
    </xf>
    <xf numFmtId="0" fontId="23" fillId="10" borderId="1" xfId="2" applyFont="1" applyFill="1" applyBorder="1" applyAlignment="1" applyProtection="1">
      <alignment horizontal="center" vertical="center"/>
    </xf>
    <xf numFmtId="164" fontId="23" fillId="0" borderId="0" xfId="2" applyNumberFormat="1" applyFont="1" applyAlignment="1" applyProtection="1">
      <alignment horizontal="left" vertical="center"/>
    </xf>
    <xf numFmtId="0" fontId="23" fillId="0" borderId="0" xfId="2" applyFont="1" applyBorder="1" applyAlignment="1" applyProtection="1">
      <alignment horizontal="right" vertical="center"/>
    </xf>
    <xf numFmtId="165" fontId="23" fillId="6" borderId="0" xfId="2" applyNumberFormat="1" applyFont="1" applyFill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vertical="center"/>
    </xf>
    <xf numFmtId="0" fontId="23" fillId="0" borderId="0" xfId="2" applyFont="1" applyBorder="1" applyAlignment="1" applyProtection="1">
      <alignment vertical="center"/>
    </xf>
    <xf numFmtId="0" fontId="24" fillId="2" borderId="0" xfId="2" applyFont="1" applyFill="1" applyAlignment="1" applyProtection="1">
      <alignment vertical="center"/>
    </xf>
    <xf numFmtId="0" fontId="24" fillId="2" borderId="0" xfId="2" applyFont="1" applyFill="1" applyAlignment="1" applyProtection="1">
      <alignment horizontal="center" vertical="center"/>
    </xf>
    <xf numFmtId="0" fontId="24" fillId="0" borderId="0" xfId="2" applyFont="1" applyAlignment="1" applyProtection="1">
      <alignment vertical="center"/>
    </xf>
    <xf numFmtId="0" fontId="24" fillId="0" borderId="0" xfId="2" applyFont="1" applyAlignment="1" applyProtection="1">
      <alignment horizontal="center" vertical="center"/>
    </xf>
    <xf numFmtId="166" fontId="22" fillId="7" borderId="1" xfId="2" applyNumberFormat="1" applyFont="1" applyFill="1" applyBorder="1" applyAlignment="1" applyProtection="1">
      <alignment horizontal="center" vertical="center"/>
    </xf>
    <xf numFmtId="166" fontId="22" fillId="8" borderId="1" xfId="2" applyNumberFormat="1" applyFont="1" applyFill="1" applyBorder="1" applyAlignment="1" applyProtection="1">
      <alignment horizontal="center" vertical="center"/>
    </xf>
    <xf numFmtId="167" fontId="22" fillId="9" borderId="1" xfId="2" applyNumberFormat="1" applyFont="1" applyFill="1" applyBorder="1" applyAlignment="1" applyProtection="1">
      <alignment horizontal="center" vertical="center"/>
    </xf>
    <xf numFmtId="167" fontId="22" fillId="10" borderId="1" xfId="2" applyNumberFormat="1" applyFont="1" applyFill="1" applyBorder="1" applyAlignment="1" applyProtection="1">
      <alignment horizontal="center" vertical="center"/>
    </xf>
    <xf numFmtId="165" fontId="23" fillId="0" borderId="0" xfId="2" applyNumberFormat="1" applyFont="1" applyAlignment="1" applyProtection="1">
      <alignment horizontal="left" vertical="center"/>
    </xf>
    <xf numFmtId="168" fontId="23" fillId="6" borderId="0" xfId="2" applyNumberFormat="1" applyFont="1" applyFill="1" applyAlignment="1" applyProtection="1">
      <alignment horizontal="center" vertical="center"/>
      <protection locked="0"/>
    </xf>
    <xf numFmtId="168" fontId="23" fillId="0" borderId="0" xfId="2" applyNumberFormat="1" applyFont="1" applyAlignment="1" applyProtection="1">
      <alignment horizontal="left" vertical="center"/>
    </xf>
    <xf numFmtId="168" fontId="23" fillId="0" borderId="0" xfId="2" applyNumberFormat="1" applyFont="1" applyAlignment="1" applyProtection="1">
      <alignment horizontal="center" vertical="center"/>
    </xf>
    <xf numFmtId="0" fontId="6" fillId="0" borderId="0" xfId="2" applyFont="1" applyAlignment="1" applyProtection="1">
      <alignment vertical="center"/>
    </xf>
    <xf numFmtId="0" fontId="23" fillId="0" borderId="0" xfId="2" applyFont="1" applyAlignment="1" applyProtection="1">
      <alignment vertical="center"/>
    </xf>
    <xf numFmtId="0" fontId="25" fillId="2" borderId="0" xfId="2" applyFont="1" applyFill="1" applyAlignment="1" applyProtection="1">
      <alignment vertical="center"/>
    </xf>
    <xf numFmtId="0" fontId="25" fillId="2" borderId="0" xfId="2" applyFont="1" applyFill="1" applyAlignment="1" applyProtection="1">
      <alignment horizontal="center" vertical="center"/>
    </xf>
    <xf numFmtId="0" fontId="25" fillId="0" borderId="0" xfId="2" applyFont="1" applyAlignment="1" applyProtection="1">
      <alignment vertical="center"/>
    </xf>
    <xf numFmtId="0" fontId="25" fillId="0" borderId="0" xfId="2" applyFont="1" applyAlignment="1" applyProtection="1">
      <alignment horizontal="center" vertical="center"/>
    </xf>
    <xf numFmtId="0" fontId="20" fillId="11" borderId="0" xfId="2" applyFont="1" applyFill="1" applyAlignment="1" applyProtection="1">
      <alignment vertical="center"/>
    </xf>
    <xf numFmtId="0" fontId="3" fillId="12" borderId="0" xfId="2" applyFont="1" applyFill="1" applyAlignment="1" applyProtection="1">
      <alignment vertical="center"/>
    </xf>
    <xf numFmtId="0" fontId="3" fillId="11" borderId="0" xfId="2" applyFont="1" applyFill="1" applyAlignment="1" applyProtection="1">
      <alignment vertical="center"/>
    </xf>
    <xf numFmtId="0" fontId="4" fillId="11" borderId="0" xfId="2" applyFont="1" applyFill="1" applyAlignment="1" applyProtection="1">
      <alignment vertical="center"/>
    </xf>
    <xf numFmtId="0" fontId="20" fillId="0" borderId="0" xfId="2" applyFont="1" applyAlignment="1" applyProtection="1">
      <alignment vertical="center"/>
    </xf>
    <xf numFmtId="0" fontId="26" fillId="0" borderId="0" xfId="2" applyFont="1" applyAlignment="1" applyProtection="1">
      <alignment horizontal="center" vertical="center"/>
    </xf>
    <xf numFmtId="0" fontId="27" fillId="0" borderId="0" xfId="2" applyFont="1" applyAlignment="1" applyProtection="1">
      <alignment horizontal="center" vertical="center"/>
    </xf>
    <xf numFmtId="0" fontId="20" fillId="0" borderId="0" xfId="2" applyFont="1" applyAlignment="1" applyProtection="1">
      <alignment horizontal="left" vertical="center"/>
    </xf>
    <xf numFmtId="169" fontId="20" fillId="6" borderId="0" xfId="2" applyNumberFormat="1" applyFont="1" applyFill="1" applyAlignment="1" applyProtection="1">
      <alignment horizontal="center" vertical="center"/>
      <protection locked="0"/>
    </xf>
    <xf numFmtId="170" fontId="20" fillId="0" borderId="0" xfId="2" applyNumberFormat="1" applyFont="1" applyAlignment="1" applyProtection="1">
      <alignment horizontal="center" vertical="center"/>
    </xf>
    <xf numFmtId="0" fontId="26" fillId="0" borderId="0" xfId="2" applyFont="1" applyAlignment="1" applyProtection="1">
      <alignment horizontal="left" vertical="center"/>
    </xf>
    <xf numFmtId="171" fontId="20" fillId="4" borderId="0" xfId="2" applyNumberFormat="1" applyFont="1" applyFill="1" applyAlignment="1" applyProtection="1">
      <alignment horizontal="center" vertical="center"/>
      <protection locked="0"/>
    </xf>
    <xf numFmtId="169" fontId="20" fillId="0" borderId="0" xfId="2" applyNumberFormat="1" applyFont="1" applyAlignment="1" applyProtection="1">
      <alignment horizontal="center" vertical="center"/>
    </xf>
    <xf numFmtId="171" fontId="20" fillId="0" borderId="0" xfId="2" applyNumberFormat="1" applyFont="1" applyAlignment="1" applyProtection="1">
      <alignment horizontal="center" vertical="center"/>
    </xf>
    <xf numFmtId="0" fontId="26" fillId="0" borderId="0" xfId="2" applyFont="1" applyAlignment="1" applyProtection="1">
      <alignment vertical="center"/>
    </xf>
    <xf numFmtId="0" fontId="20" fillId="4" borderId="0" xfId="2" applyFont="1" applyFill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right" vertical="center"/>
    </xf>
    <xf numFmtId="172" fontId="20" fillId="0" borderId="0" xfId="2" applyNumberFormat="1" applyFont="1" applyAlignment="1" applyProtection="1">
      <alignment horizontal="center" vertical="center"/>
    </xf>
    <xf numFmtId="173" fontId="20" fillId="0" borderId="0" xfId="1" applyNumberFormat="1" applyFont="1" applyBorder="1" applyAlignment="1" applyProtection="1">
      <alignment horizontal="center" vertical="center"/>
    </xf>
    <xf numFmtId="174" fontId="20" fillId="6" borderId="0" xfId="2" applyNumberFormat="1" applyFont="1" applyFill="1" applyAlignment="1" applyProtection="1">
      <alignment horizontal="center" vertical="center"/>
      <protection locked="0"/>
    </xf>
    <xf numFmtId="174" fontId="20" fillId="0" borderId="0" xfId="2" applyNumberFormat="1" applyFont="1" applyAlignment="1" applyProtection="1">
      <alignment horizontal="center" vertical="center"/>
    </xf>
    <xf numFmtId="174" fontId="20" fillId="0" borderId="0" xfId="2" applyNumberFormat="1" applyFont="1" applyAlignment="1" applyProtection="1">
      <alignment horizontal="center" vertical="center"/>
    </xf>
    <xf numFmtId="175" fontId="20" fillId="6" borderId="0" xfId="2" applyNumberFormat="1" applyFont="1" applyFill="1" applyAlignment="1" applyProtection="1">
      <alignment horizontal="center" vertical="center"/>
      <protection locked="0"/>
    </xf>
    <xf numFmtId="175" fontId="20" fillId="0" borderId="0" xfId="2" applyNumberFormat="1" applyFont="1" applyAlignment="1" applyProtection="1">
      <alignment horizontal="center" vertical="center"/>
    </xf>
    <xf numFmtId="167" fontId="20" fillId="4" borderId="0" xfId="2" applyNumberFormat="1" applyFont="1" applyFill="1" applyAlignment="1" applyProtection="1">
      <alignment horizontal="center" vertical="center"/>
      <protection locked="0"/>
    </xf>
    <xf numFmtId="176" fontId="28" fillId="0" borderId="0" xfId="2" applyNumberFormat="1" applyFont="1" applyAlignment="1" applyProtection="1">
      <alignment horizontal="center" vertical="center"/>
    </xf>
    <xf numFmtId="177" fontId="20" fillId="4" borderId="0" xfId="2" applyNumberFormat="1" applyFont="1" applyFill="1" applyAlignment="1" applyProtection="1">
      <alignment horizontal="center" vertical="center"/>
      <protection locked="0"/>
    </xf>
    <xf numFmtId="0" fontId="29" fillId="0" borderId="0" xfId="2" applyFont="1" applyAlignment="1" applyProtection="1">
      <alignment vertical="center"/>
    </xf>
    <xf numFmtId="167" fontId="29" fillId="0" borderId="0" xfId="2" applyNumberFormat="1" applyFont="1" applyAlignment="1" applyProtection="1">
      <alignment horizontal="center" vertical="center"/>
    </xf>
    <xf numFmtId="178" fontId="29" fillId="0" borderId="0" xfId="2" applyNumberFormat="1" applyFont="1" applyAlignment="1" applyProtection="1">
      <alignment horizontal="center" vertical="center"/>
    </xf>
    <xf numFmtId="0" fontId="20" fillId="0" borderId="0" xfId="2" applyFont="1" applyAlignment="1" applyProtection="1">
      <alignment horizontal="left" vertical="center"/>
    </xf>
    <xf numFmtId="179" fontId="20" fillId="6" borderId="0" xfId="2" applyNumberFormat="1" applyFont="1" applyFill="1" applyAlignment="1" applyProtection="1">
      <alignment horizontal="center" vertical="center"/>
      <protection locked="0"/>
    </xf>
    <xf numFmtId="176" fontId="20" fillId="0" borderId="0" xfId="2" applyNumberFormat="1" applyFont="1" applyAlignment="1" applyProtection="1">
      <alignment horizontal="center" vertical="center"/>
    </xf>
    <xf numFmtId="180" fontId="20" fillId="0" borderId="0" xfId="2" applyNumberFormat="1" applyFont="1" applyAlignment="1" applyProtection="1">
      <alignment horizontal="center" vertical="center"/>
    </xf>
    <xf numFmtId="167" fontId="20" fillId="0" borderId="0" xfId="2" applyNumberFormat="1" applyFont="1" applyAlignment="1" applyProtection="1">
      <alignment horizontal="center" vertical="center"/>
    </xf>
    <xf numFmtId="178" fontId="20" fillId="4" borderId="0" xfId="2" applyNumberFormat="1" applyFont="1" applyFill="1" applyAlignment="1" applyProtection="1">
      <alignment horizontal="center" vertical="center"/>
      <protection locked="0"/>
    </xf>
    <xf numFmtId="178" fontId="20" fillId="0" borderId="0" xfId="2" applyNumberFormat="1" applyFont="1" applyAlignment="1" applyProtection="1">
      <alignment horizontal="center" vertical="center"/>
    </xf>
    <xf numFmtId="0" fontId="20" fillId="0" borderId="0" xfId="2" applyFont="1" applyAlignment="1" applyProtection="1">
      <alignment horizontal="center" vertical="center"/>
    </xf>
    <xf numFmtId="0" fontId="20" fillId="0" borderId="2" xfId="2" applyFont="1" applyBorder="1" applyAlignment="1" applyProtection="1">
      <alignment vertical="center"/>
    </xf>
    <xf numFmtId="180" fontId="20" fillId="0" borderId="2" xfId="2" applyNumberFormat="1" applyFont="1" applyBorder="1" applyAlignment="1" applyProtection="1">
      <alignment horizontal="center" vertical="center"/>
    </xf>
    <xf numFmtId="171" fontId="20" fillId="6" borderId="0" xfId="2" applyNumberFormat="1" applyFont="1" applyFill="1" applyAlignment="1" applyProtection="1">
      <alignment horizontal="center" vertical="center"/>
      <protection locked="0"/>
    </xf>
    <xf numFmtId="181" fontId="20" fillId="0" borderId="0" xfId="2" applyNumberFormat="1" applyFont="1" applyAlignment="1" applyProtection="1">
      <alignment horizontal="center" vertical="center"/>
    </xf>
    <xf numFmtId="0" fontId="0" fillId="2" borderId="0" xfId="0" applyFill="1"/>
    <xf numFmtId="171" fontId="20" fillId="0" borderId="0" xfId="2" applyNumberFormat="1" applyFont="1" applyAlignment="1" applyProtection="1">
      <alignment horizontal="center" vertical="center"/>
    </xf>
    <xf numFmtId="0" fontId="20" fillId="0" borderId="0" xfId="2" applyFont="1" applyBorder="1" applyAlignment="1" applyProtection="1">
      <alignment vertical="center"/>
    </xf>
    <xf numFmtId="170" fontId="20" fillId="0" borderId="0" xfId="2" applyNumberFormat="1" applyFont="1" applyBorder="1" applyAlignment="1" applyProtection="1">
      <alignment horizontal="center" vertical="center"/>
    </xf>
    <xf numFmtId="0" fontId="29" fillId="0" borderId="0" xfId="2" applyFont="1" applyAlignment="1" applyProtection="1">
      <alignment horizontal="center" vertical="center"/>
    </xf>
    <xf numFmtId="174" fontId="20" fillId="6" borderId="0" xfId="2" applyNumberFormat="1" applyFont="1" applyFill="1" applyBorder="1" applyAlignment="1" applyProtection="1">
      <alignment horizontal="center" vertical="center"/>
      <protection locked="0"/>
    </xf>
    <xf numFmtId="182" fontId="29" fillId="0" borderId="0" xfId="2" applyNumberFormat="1" applyFont="1" applyAlignment="1" applyProtection="1">
      <alignment horizontal="center" vertical="center"/>
    </xf>
    <xf numFmtId="183" fontId="20" fillId="4" borderId="0" xfId="2" applyNumberFormat="1" applyFont="1" applyFill="1" applyAlignment="1" applyProtection="1">
      <alignment horizontal="center" vertical="center"/>
      <protection locked="0"/>
    </xf>
    <xf numFmtId="183" fontId="20" fillId="0" borderId="0" xfId="2" applyNumberFormat="1" applyFont="1" applyAlignment="1" applyProtection="1">
      <alignment horizontal="center" vertical="center"/>
      <protection locked="0"/>
    </xf>
    <xf numFmtId="183" fontId="20" fillId="2" borderId="0" xfId="2" applyNumberFormat="1" applyFont="1" applyFill="1" applyAlignment="1" applyProtection="1">
      <alignment horizontal="center" vertical="center"/>
      <protection locked="0"/>
    </xf>
    <xf numFmtId="167" fontId="20" fillId="0" borderId="0" xfId="2" applyNumberFormat="1" applyFont="1" applyBorder="1" applyAlignment="1" applyProtection="1">
      <alignment horizontal="center" vertical="center"/>
    </xf>
    <xf numFmtId="183" fontId="20" fillId="0" borderId="0" xfId="2" applyNumberFormat="1" applyFont="1" applyAlignment="1" applyProtection="1">
      <alignment horizontal="center" vertical="center"/>
    </xf>
    <xf numFmtId="0" fontId="20" fillId="0" borderId="0" xfId="2" applyFont="1" applyAlignment="1" applyProtection="1">
      <alignment horizontal="right" vertical="center"/>
    </xf>
    <xf numFmtId="0" fontId="26" fillId="0" borderId="0" xfId="2" applyFont="1" applyAlignment="1" applyProtection="1">
      <alignment horizontal="right" vertical="center"/>
    </xf>
    <xf numFmtId="184" fontId="20" fillId="0" borderId="0" xfId="2" applyNumberFormat="1" applyFont="1" applyAlignment="1" applyProtection="1">
      <alignment horizontal="center" vertical="center"/>
    </xf>
    <xf numFmtId="173" fontId="20" fillId="0" borderId="0" xfId="1" applyNumberFormat="1" applyFont="1" applyBorder="1" applyAlignment="1" applyProtection="1">
      <alignment horizontal="left" vertical="center"/>
    </xf>
    <xf numFmtId="185" fontId="20" fillId="0" borderId="0" xfId="2" applyNumberFormat="1" applyFont="1" applyAlignment="1" applyProtection="1">
      <alignment horizontal="center" vertical="center"/>
    </xf>
    <xf numFmtId="185" fontId="20" fillId="11" borderId="0" xfId="2" applyNumberFormat="1" applyFont="1" applyFill="1" applyAlignment="1" applyProtection="1">
      <alignment horizontal="center" vertical="center"/>
    </xf>
    <xf numFmtId="0" fontId="26" fillId="2" borderId="0" xfId="2" applyFont="1" applyFill="1" applyAlignment="1" applyProtection="1">
      <alignment horizontal="right" vertical="center"/>
    </xf>
    <xf numFmtId="184" fontId="20" fillId="2" borderId="0" xfId="2" applyNumberFormat="1" applyFont="1" applyFill="1" applyAlignment="1" applyProtection="1">
      <alignment horizontal="center" vertical="center"/>
    </xf>
    <xf numFmtId="185" fontId="20" fillId="2" borderId="0" xfId="2" applyNumberFormat="1" applyFont="1" applyFill="1" applyAlignment="1" applyProtection="1">
      <alignment horizontal="center" vertical="center"/>
    </xf>
    <xf numFmtId="173" fontId="20" fillId="2" borderId="0" xfId="1" applyNumberFormat="1" applyFont="1" applyFill="1" applyBorder="1" applyAlignment="1" applyProtection="1">
      <alignment horizontal="center" vertical="center"/>
    </xf>
    <xf numFmtId="164" fontId="20" fillId="0" borderId="0" xfId="2" applyNumberFormat="1" applyFont="1" applyAlignment="1" applyProtection="1">
      <alignment horizontal="center" vertical="center"/>
    </xf>
    <xf numFmtId="0" fontId="20" fillId="0" borderId="0" xfId="2" applyFont="1" applyAlignment="1" applyProtection="1">
      <alignment horizontal="right" vertical="center"/>
    </xf>
    <xf numFmtId="0" fontId="20" fillId="2" borderId="0" xfId="2" applyFont="1" applyFill="1" applyAlignment="1" applyProtection="1">
      <alignment vertical="center"/>
    </xf>
    <xf numFmtId="172" fontId="20" fillId="0" borderId="0" xfId="2" applyNumberFormat="1" applyFont="1" applyAlignment="1" applyProtection="1">
      <alignment horizontal="center" vertical="center"/>
    </xf>
    <xf numFmtId="0" fontId="28" fillId="0" borderId="0" xfId="2" applyFont="1" applyAlignment="1" applyProtection="1">
      <alignment horizontal="center" vertical="center"/>
    </xf>
    <xf numFmtId="0" fontId="26" fillId="0" borderId="0" xfId="2" applyFont="1" applyAlignment="1" applyProtection="1">
      <alignment horizontal="left" vertical="center"/>
    </xf>
    <xf numFmtId="164" fontId="20" fillId="0" borderId="0" xfId="2" applyNumberFormat="1" applyFont="1" applyAlignment="1" applyProtection="1">
      <alignment horizontal="center" vertical="center"/>
    </xf>
    <xf numFmtId="0" fontId="23" fillId="0" borderId="0" xfId="2" applyFont="1" applyAlignment="1" applyProtection="1">
      <alignment horizontal="right" vertical="center"/>
    </xf>
    <xf numFmtId="164" fontId="22" fillId="0" borderId="0" xfId="2" applyNumberFormat="1" applyFont="1" applyBorder="1" applyAlignment="1" applyProtection="1">
      <alignment horizontal="center" vertical="center"/>
    </xf>
    <xf numFmtId="0" fontId="22" fillId="0" borderId="0" xfId="2" applyFont="1" applyAlignment="1" applyProtection="1">
      <alignment horizontal="center" vertical="center"/>
    </xf>
    <xf numFmtId="186" fontId="20" fillId="0" borderId="0" xfId="2" applyNumberFormat="1" applyFont="1" applyAlignment="1" applyProtection="1">
      <alignment horizontal="center" vertical="center"/>
    </xf>
    <xf numFmtId="0" fontId="16" fillId="0" borderId="0" xfId="2" applyFont="1" applyAlignment="1" applyProtection="1">
      <alignment horizontal="left" vertical="center"/>
    </xf>
    <xf numFmtId="0" fontId="23" fillId="0" borderId="0" xfId="2" applyFont="1" applyAlignment="1" applyProtection="1">
      <alignment horizontal="right" vertical="center"/>
    </xf>
    <xf numFmtId="172" fontId="23" fillId="13" borderId="0" xfId="2" applyNumberFormat="1" applyFont="1" applyFill="1" applyBorder="1" applyAlignment="1" applyProtection="1">
      <alignment horizontal="center" vertical="center"/>
    </xf>
    <xf numFmtId="172" fontId="23" fillId="0" borderId="0" xfId="2" applyNumberFormat="1" applyFont="1" applyBorder="1" applyAlignment="1" applyProtection="1">
      <alignment horizontal="center" vertical="center"/>
    </xf>
    <xf numFmtId="182" fontId="21" fillId="0" borderId="0" xfId="2" applyNumberFormat="1" applyFont="1" applyAlignment="1" applyProtection="1">
      <alignment horizontal="center" vertical="center"/>
    </xf>
    <xf numFmtId="187" fontId="23" fillId="0" borderId="0" xfId="2" applyNumberFormat="1" applyFont="1" applyBorder="1" applyAlignment="1" applyProtection="1">
      <alignment horizontal="center" vertical="center"/>
    </xf>
    <xf numFmtId="188" fontId="20" fillId="0" borderId="0" xfId="2" applyNumberFormat="1" applyFont="1" applyAlignment="1" applyProtection="1">
      <alignment horizontal="center" vertical="center"/>
    </xf>
    <xf numFmtId="188" fontId="21" fillId="0" borderId="0" xfId="2" applyNumberFormat="1" applyFont="1" applyAlignment="1" applyProtection="1">
      <alignment horizontal="center" vertical="center"/>
    </xf>
    <xf numFmtId="173" fontId="20" fillId="0" borderId="0" xfId="2" applyNumberFormat="1" applyFont="1" applyAlignment="1" applyProtection="1">
      <alignment horizontal="center" vertical="center"/>
    </xf>
    <xf numFmtId="0" fontId="30" fillId="0" borderId="0" xfId="2" applyFont="1" applyAlignment="1" applyProtection="1">
      <alignment horizontal="right" vertical="center"/>
    </xf>
    <xf numFmtId="0" fontId="26" fillId="14" borderId="4" xfId="2" applyFont="1" applyFill="1" applyBorder="1" applyAlignment="1" applyProtection="1">
      <alignment horizontal="center" vertical="center"/>
    </xf>
    <xf numFmtId="187" fontId="23" fillId="13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Alignment="1" applyProtection="1">
      <alignment horizontal="center" vertical="center"/>
    </xf>
    <xf numFmtId="0" fontId="27" fillId="0" borderId="0" xfId="2" applyFont="1" applyAlignment="1" applyProtection="1">
      <alignment horizontal="right" vertical="center"/>
    </xf>
    <xf numFmtId="173" fontId="23" fillId="13" borderId="0" xfId="1" applyNumberFormat="1" applyFont="1" applyFill="1" applyBorder="1" applyAlignment="1" applyProtection="1">
      <alignment horizontal="center" vertical="center"/>
    </xf>
    <xf numFmtId="0" fontId="16" fillId="0" borderId="0" xfId="2" applyFont="1" applyAlignment="1" applyProtection="1">
      <alignment horizontal="right" vertical="center"/>
    </xf>
    <xf numFmtId="189" fontId="20" fillId="0" borderId="0" xfId="2" applyNumberFormat="1" applyFont="1" applyAlignment="1" applyProtection="1">
      <alignment horizontal="center" vertical="center"/>
    </xf>
    <xf numFmtId="0" fontId="16" fillId="2" borderId="0" xfId="2" applyFont="1" applyFill="1" applyAlignment="1" applyProtection="1">
      <alignment horizontal="right" vertical="center"/>
    </xf>
    <xf numFmtId="189" fontId="20" fillId="2" borderId="0" xfId="2" applyNumberFormat="1" applyFont="1" applyFill="1" applyAlignment="1" applyProtection="1">
      <alignment horizontal="center" vertical="center"/>
    </xf>
    <xf numFmtId="178" fontId="20" fillId="0" borderId="0" xfId="2" applyNumberFormat="1" applyFont="1" applyAlignment="1" applyProtection="1">
      <alignment horizontal="center" vertical="center"/>
    </xf>
    <xf numFmtId="190" fontId="20" fillId="0" borderId="0" xfId="2" applyNumberFormat="1" applyFont="1" applyAlignment="1" applyProtection="1">
      <alignment horizontal="center" vertical="center"/>
    </xf>
    <xf numFmtId="182" fontId="20" fillId="0" borderId="0" xfId="2" applyNumberFormat="1" applyFont="1" applyAlignment="1" applyProtection="1">
      <alignment horizontal="center" vertical="center"/>
    </xf>
    <xf numFmtId="0" fontId="20" fillId="2" borderId="1" xfId="2" applyFont="1" applyFill="1" applyBorder="1" applyAlignment="1" applyProtection="1">
      <alignment horizontal="center" vertical="center"/>
    </xf>
    <xf numFmtId="0" fontId="20" fillId="0" borderId="1" xfId="2" applyFont="1" applyBorder="1" applyAlignment="1" applyProtection="1">
      <alignment horizontal="center" vertical="center"/>
    </xf>
    <xf numFmtId="0" fontId="0" fillId="2" borderId="0" xfId="0" applyFill="1" applyProtection="1"/>
    <xf numFmtId="0" fontId="31" fillId="2" borderId="0" xfId="0" applyFont="1" applyFill="1" applyAlignment="1" applyProtection="1">
      <alignment horizontal="center"/>
    </xf>
    <xf numFmtId="0" fontId="32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Alignment="1" applyProtection="1">
      <alignment vertical="center"/>
    </xf>
    <xf numFmtId="0" fontId="28" fillId="2" borderId="0" xfId="2" applyFont="1" applyFill="1" applyAlignment="1" applyProtection="1">
      <alignment horizontal="center" vertical="center"/>
    </xf>
    <xf numFmtId="0" fontId="26" fillId="2" borderId="0" xfId="2" applyFont="1" applyFill="1" applyAlignment="1" applyProtection="1">
      <alignment horizontal="center" vertical="center"/>
    </xf>
    <xf numFmtId="0" fontId="26" fillId="2" borderId="0" xfId="2" applyFont="1" applyFill="1" applyAlignment="1" applyProtection="1">
      <alignment horizontal="left" vertical="center"/>
    </xf>
    <xf numFmtId="182" fontId="20" fillId="2" borderId="0" xfId="2" applyNumberFormat="1" applyFont="1" applyFill="1" applyAlignment="1" applyProtection="1">
      <alignment horizontal="center" vertical="center"/>
    </xf>
    <xf numFmtId="0" fontId="26" fillId="2" borderId="0" xfId="2" applyFont="1" applyFill="1" applyAlignment="1" applyProtection="1">
      <alignment vertical="center"/>
    </xf>
    <xf numFmtId="0" fontId="20" fillId="6" borderId="0" xfId="2" applyFont="1" applyFill="1" applyAlignment="1" applyProtection="1">
      <alignment horizontal="center" vertical="center"/>
      <protection locked="0"/>
    </xf>
    <xf numFmtId="164" fontId="20" fillId="2" borderId="0" xfId="2" applyNumberFormat="1" applyFont="1" applyFill="1" applyAlignment="1" applyProtection="1">
      <alignment horizontal="center" vertical="center"/>
    </xf>
    <xf numFmtId="172" fontId="20" fillId="2" borderId="0" xfId="2" applyNumberFormat="1" applyFont="1" applyFill="1" applyAlignment="1" applyProtection="1">
      <alignment horizontal="center" vertical="center"/>
    </xf>
    <xf numFmtId="167" fontId="20" fillId="6" borderId="0" xfId="2" applyNumberFormat="1" applyFont="1" applyFill="1" applyAlignment="1" applyProtection="1">
      <alignment horizontal="center" vertical="center"/>
      <protection locked="0"/>
    </xf>
    <xf numFmtId="178" fontId="29" fillId="2" borderId="0" xfId="2" applyNumberFormat="1" applyFont="1" applyFill="1" applyAlignment="1" applyProtection="1">
      <alignment horizontal="center" vertical="center"/>
    </xf>
    <xf numFmtId="0" fontId="20" fillId="2" borderId="0" xfId="2" applyFont="1" applyFill="1" applyAlignment="1" applyProtection="1">
      <alignment horizontal="right" vertical="center"/>
    </xf>
    <xf numFmtId="164" fontId="26" fillId="13" borderId="0" xfId="2" applyNumberFormat="1" applyFont="1" applyFill="1" applyAlignment="1" applyProtection="1">
      <alignment horizontal="center" vertical="center"/>
    </xf>
    <xf numFmtId="0" fontId="16" fillId="2" borderId="0" xfId="2" applyFont="1" applyFill="1" applyAlignment="1" applyProtection="1">
      <alignment horizontal="left" vertical="center"/>
    </xf>
    <xf numFmtId="0" fontId="27" fillId="2" borderId="0" xfId="2" applyFont="1" applyFill="1" applyAlignment="1" applyProtection="1">
      <alignment horizontal="right" vertical="center"/>
    </xf>
    <xf numFmtId="173" fontId="26" fillId="13" borderId="0" xfId="1" applyNumberFormat="1" applyFont="1" applyFill="1" applyBorder="1" applyAlignment="1" applyProtection="1">
      <alignment horizontal="center" vertical="center"/>
    </xf>
    <xf numFmtId="173" fontId="20" fillId="2" borderId="0" xfId="2" applyNumberFormat="1" applyFont="1" applyFill="1" applyAlignment="1" applyProtection="1">
      <alignment horizontal="center" vertical="center"/>
    </xf>
    <xf numFmtId="0" fontId="1" fillId="2" borderId="0" xfId="0" applyFont="1" applyFill="1" applyProtection="1"/>
    <xf numFmtId="0" fontId="33" fillId="15" borderId="0" xfId="0" applyFont="1" applyFill="1" applyAlignment="1">
      <alignment vertical="center"/>
    </xf>
    <xf numFmtId="10" fontId="0" fillId="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left" vertical="center"/>
    </xf>
    <xf numFmtId="10" fontId="34" fillId="2" borderId="0" xfId="0" applyNumberFormat="1" applyFont="1" applyFill="1" applyAlignment="1">
      <alignment horizontal="left" vertical="center"/>
    </xf>
    <xf numFmtId="10" fontId="0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35" fillId="2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0" xfId="0" applyNumberFormat="1" applyFill="1" applyBorder="1" applyAlignment="1">
      <alignment vertical="center"/>
    </xf>
    <xf numFmtId="10" fontId="0" fillId="2" borderId="0" xfId="0" applyNumberForma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20" fillId="2" borderId="1" xfId="2" applyFont="1" applyFill="1" applyBorder="1" applyAlignment="1" applyProtection="1">
      <alignment horizontal="center" vertical="center"/>
    </xf>
    <xf numFmtId="0" fontId="4" fillId="2" borderId="0" xfId="0" quotePrefix="1" applyFont="1" applyFill="1" applyAlignment="1">
      <alignment horizontal="left"/>
    </xf>
    <xf numFmtId="0" fontId="3" fillId="0" borderId="0" xfId="2" applyFont="1" applyFill="1" applyAlignment="1" applyProtection="1">
      <alignment vertical="center"/>
    </xf>
    <xf numFmtId="0" fontId="20" fillId="0" borderId="0" xfId="2" applyFont="1" applyFill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20" fillId="0" borderId="0" xfId="2" applyFont="1" applyFill="1" applyBorder="1" applyAlignment="1" applyProtection="1">
      <alignment vertical="center"/>
    </xf>
    <xf numFmtId="185" fontId="20" fillId="0" borderId="0" xfId="2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3" fillId="0" borderId="0" xfId="2" applyFont="1" applyFill="1" applyBorder="1" applyAlignment="1" applyProtection="1">
      <alignment horizontal="center" vertical="center"/>
    </xf>
    <xf numFmtId="167" fontId="22" fillId="0" borderId="0" xfId="2" applyNumberFormat="1" applyFont="1" applyFill="1" applyBorder="1" applyAlignment="1" applyProtection="1">
      <alignment horizontal="center" vertical="center"/>
    </xf>
    <xf numFmtId="0" fontId="33" fillId="16" borderId="0" xfId="0" applyFont="1" applyFill="1" applyAlignment="1">
      <alignment vertical="center"/>
    </xf>
    <xf numFmtId="0" fontId="0" fillId="16" borderId="0" xfId="0" applyFill="1"/>
    <xf numFmtId="0" fontId="33" fillId="17" borderId="0" xfId="0" applyFont="1" applyFill="1" applyAlignment="1">
      <alignment vertical="center"/>
    </xf>
    <xf numFmtId="0" fontId="0" fillId="17" borderId="0" xfId="0" applyFill="1"/>
    <xf numFmtId="0" fontId="31" fillId="2" borderId="0" xfId="0" applyFont="1" applyFill="1" applyAlignment="1">
      <alignment horizontal="center"/>
    </xf>
    <xf numFmtId="0" fontId="1" fillId="2" borderId="0" xfId="0" applyFont="1" applyFill="1"/>
    <xf numFmtId="0" fontId="0" fillId="15" borderId="0" xfId="0" applyFill="1"/>
    <xf numFmtId="0" fontId="20" fillId="2" borderId="1" xfId="2" applyFont="1" applyFill="1" applyBorder="1" applyAlignment="1" applyProtection="1">
      <alignment horizontal="center" vertical="center"/>
    </xf>
    <xf numFmtId="0" fontId="14" fillId="5" borderId="1" xfId="2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/>
    </xf>
    <xf numFmtId="0" fontId="20" fillId="2" borderId="1" xfId="2" applyFont="1" applyFill="1" applyBorder="1" applyAlignment="1" applyProtection="1">
      <alignment horizontal="center" vertical="center"/>
    </xf>
    <xf numFmtId="0" fontId="20" fillId="2" borderId="1" xfId="2" applyFont="1" applyFill="1" applyBorder="1" applyAlignment="1" applyProtection="1">
      <alignment horizontal="center" vertical="center" wrapText="1"/>
    </xf>
    <xf numFmtId="0" fontId="20" fillId="0" borderId="1" xfId="2" applyFont="1" applyBorder="1" applyAlignment="1" applyProtection="1">
      <alignment horizontal="center" vertical="center" wrapText="1"/>
    </xf>
    <xf numFmtId="0" fontId="20" fillId="2" borderId="3" xfId="2" applyFont="1" applyFill="1" applyBorder="1" applyAlignment="1" applyProtection="1">
      <alignment horizontal="center" vertical="center" wrapText="1"/>
    </xf>
    <xf numFmtId="0" fontId="4" fillId="8" borderId="0" xfId="2" applyFont="1" applyFill="1" applyBorder="1" applyAlignment="1" applyProtection="1">
      <alignment horizontal="center" vertical="center" wrapText="1"/>
    </xf>
    <xf numFmtId="0" fontId="26" fillId="0" borderId="0" xfId="2" applyFont="1" applyBorder="1" applyAlignment="1" applyProtection="1">
      <alignment horizontal="center" vertical="center"/>
    </xf>
    <xf numFmtId="0" fontId="4" fillId="4" borderId="1" xfId="2" applyFont="1" applyFill="1" applyBorder="1" applyAlignment="1" applyProtection="1">
      <alignment horizontal="center" vertical="center" wrapText="1"/>
    </xf>
    <xf numFmtId="0" fontId="4" fillId="6" borderId="1" xfId="2" applyFont="1" applyFill="1" applyBorder="1" applyAlignment="1" applyProtection="1">
      <alignment horizontal="center" vertical="center" wrapText="1"/>
    </xf>
    <xf numFmtId="0" fontId="23" fillId="0" borderId="1" xfId="2" applyFont="1" applyBorder="1" applyAlignment="1" applyProtection="1">
      <alignment horizontal="center" vertical="center"/>
    </xf>
    <xf numFmtId="0" fontId="4" fillId="7" borderId="0" xfId="2" applyFont="1" applyFill="1" applyBorder="1" applyAlignment="1" applyProtection="1">
      <alignment horizontal="center" vertical="center"/>
    </xf>
    <xf numFmtId="0" fontId="4" fillId="10" borderId="0" xfId="2" applyFont="1" applyFill="1" applyBorder="1" applyAlignment="1" applyProtection="1">
      <alignment horizontal="center" vertical="center" wrapText="1"/>
    </xf>
    <xf numFmtId="0" fontId="4" fillId="9" borderId="0" xfId="2" applyFont="1" applyFill="1" applyBorder="1" applyAlignment="1" applyProtection="1">
      <alignment horizontal="center" vertical="center" wrapText="1"/>
    </xf>
    <xf numFmtId="0" fontId="4" fillId="3" borderId="0" xfId="2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left"/>
    </xf>
    <xf numFmtId="0" fontId="1" fillId="3" borderId="0" xfId="0" applyFont="1" applyFill="1" applyAlignment="1">
      <alignment horizontal="left"/>
    </xf>
    <xf numFmtId="10" fontId="0" fillId="2" borderId="1" xfId="0" applyNumberFormat="1" applyFont="1" applyFill="1" applyBorder="1" applyAlignment="1">
      <alignment horizontal="center" vertical="center"/>
    </xf>
  </cellXfs>
  <cellStyles count="3">
    <cellStyle name="Explanatory Text" xfId="2" builtinId="53" customBuiltin="1"/>
    <cellStyle name="Normal" xfId="0" builtinId="0"/>
    <cellStyle name="Percent" xfId="1" builtinId="5"/>
  </cellStyles>
  <dxfs count="32">
    <dxf>
      <fill>
        <patternFill>
          <bgColor rgb="FFD99694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D99694"/>
        </patternFill>
      </fill>
    </dxf>
    <dxf>
      <fill>
        <patternFill>
          <bgColor rgb="FF92D050"/>
        </patternFill>
      </fill>
    </dxf>
    <dxf>
      <fill>
        <patternFill>
          <bgColor rgb="FFD99694"/>
        </patternFill>
      </fill>
    </dxf>
    <dxf>
      <fill>
        <patternFill>
          <bgColor rgb="FF92D050"/>
        </patternFill>
      </fill>
    </dxf>
    <dxf>
      <fill>
        <patternFill>
          <bgColor rgb="FFD99694"/>
        </patternFill>
      </fill>
    </dxf>
    <dxf>
      <fill>
        <patternFill>
          <bgColor rgb="FF92D050"/>
        </patternFill>
      </fill>
    </dxf>
    <dxf>
      <fill>
        <patternFill>
          <bgColor rgb="FFD9969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56EE32"/>
      <rgbColor rgb="FF0000FF"/>
      <rgbColor rgb="FFFFFF00"/>
      <rgbColor rgb="FFFF00FF"/>
      <rgbColor rgb="FF00FFFF"/>
      <rgbColor rgb="FF9C0006"/>
      <rgbColor rgb="FF006600"/>
      <rgbColor rgb="FF000080"/>
      <rgbColor rgb="FF9BBB59"/>
      <rgbColor rgb="FF800080"/>
      <rgbColor rgb="FF008080"/>
      <rgbColor rgb="FFBFBFBF"/>
      <rgbColor rgb="FF808080"/>
      <rgbColor rgb="FFA6A6A6"/>
      <rgbColor rgb="FFC0504D"/>
      <rgbColor rgb="FFF2F2F2"/>
      <rgbColor rgb="FFD9D9D9"/>
      <rgbColor rgb="FF660066"/>
      <rgbColor rgb="FFD99694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C7CE"/>
      <rgbColor rgb="FFB7DEE8"/>
      <rgbColor rgb="FFE6B9B8"/>
      <rgbColor rgb="FFCC99FF"/>
      <rgbColor rgb="FFFCD5B5"/>
      <rgbColor rgb="FF4F81BD"/>
      <rgbColor rgb="FF4BACC6"/>
      <rgbColor rgb="FF92D050"/>
      <rgbColor rgb="FFFFCC00"/>
      <rgbColor rgb="FFF79646"/>
      <rgbColor rgb="FFFF6600"/>
      <rgbColor rgb="FF8064A2"/>
      <rgbColor rgb="FF969696"/>
      <rgbColor rgb="FF003366"/>
      <rgbColor rgb="FF339966"/>
      <rgbColor rgb="FF003300"/>
      <rgbColor rgb="FF333300"/>
      <rgbColor rgb="FF772C2A"/>
      <rgbColor rgb="FF993366"/>
      <rgbColor rgb="FF2C4D75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Vpre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Vpre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8314-4E6D-B1DB-38B19E11F90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8314-4E6D-B1DB-38B19E11F90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8314-4E6D-B1DB-38B19E11F90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8314-4E6D-B1DB-38B19E11F90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8314-4E6D-B1DB-38B19E11F90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(FS84_QFN48EP_PDTCALC!$B$31:$B$34,FS84_QFN48EP_PDTCALC!$E$34)</c:f>
              <c:strCache>
                <c:ptCount val="5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</c:strCache>
            </c:strRef>
          </c:cat>
          <c:val>
            <c:numRef>
              <c:f>(FS84_QFN48EP_PDTCALC!$C$31:$C$34,FS84_QFN48EP_PDTCALC!$F$34)</c:f>
              <c:numCache>
                <c:formatCode>0.000" W"</c:formatCode>
                <c:ptCount val="5"/>
                <c:pt idx="0">
                  <c:v>2.4636509030061626E-7</c:v>
                </c:pt>
                <c:pt idx="1">
                  <c:v>1.8034177947644445E-4</c:v>
                </c:pt>
                <c:pt idx="2">
                  <c:v>4.4344222269418375E-7</c:v>
                </c:pt>
                <c:pt idx="3">
                  <c:v>9.0170889738222218E-6</c:v>
                </c:pt>
                <c:pt idx="4">
                  <c:v>3.5778716299845899E-3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14-4E6D-B1DB-38B19E11F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BUCK3 efficiency (VPRE=4.1V)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Eff_Curves!$G$62</c:f>
              <c:strCache>
                <c:ptCount val="1"/>
                <c:pt idx="0">
                  <c:v>1.25V_Eff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Eff_Curves!$G$63:$G$88</c:f>
              <c:numCache>
                <c:formatCode>0.00%</c:formatCode>
                <c:ptCount val="26"/>
                <c:pt idx="0">
                  <c:v>0.87991847622894903</c:v>
                </c:pt>
                <c:pt idx="1">
                  <c:v>0.918870566916278</c:v>
                </c:pt>
                <c:pt idx="2">
                  <c:v>0.93559520076713598</c:v>
                </c:pt>
                <c:pt idx="3">
                  <c:v>0.93766108815826699</c:v>
                </c:pt>
                <c:pt idx="4">
                  <c:v>0.93596755890803196</c:v>
                </c:pt>
                <c:pt idx="5">
                  <c:v>0.93277973812027404</c:v>
                </c:pt>
                <c:pt idx="6">
                  <c:v>0.92886457305722103</c:v>
                </c:pt>
                <c:pt idx="7">
                  <c:v>0.92455342045091804</c:v>
                </c:pt>
                <c:pt idx="8">
                  <c:v>0.92001261732487005</c:v>
                </c:pt>
                <c:pt idx="9">
                  <c:v>0.91533466244480199</c:v>
                </c:pt>
                <c:pt idx="10">
                  <c:v>0.91057495947143097</c:v>
                </c:pt>
                <c:pt idx="11">
                  <c:v>0.90576860843551299</c:v>
                </c:pt>
                <c:pt idx="12">
                  <c:v>0.90093883597768998</c:v>
                </c:pt>
                <c:pt idx="13">
                  <c:v>0.89610154940123699</c:v>
                </c:pt>
                <c:pt idx="14">
                  <c:v>0.89126794577414903</c:v>
                </c:pt>
                <c:pt idx="15">
                  <c:v>0.88644608072818998</c:v>
                </c:pt>
                <c:pt idx="16">
                  <c:v>0.88164185068037004</c:v>
                </c:pt>
                <c:pt idx="17">
                  <c:v>0.87685962930722405</c:v>
                </c:pt>
                <c:pt idx="18">
                  <c:v>0.87210269236138305</c:v>
                </c:pt>
                <c:pt idx="19">
                  <c:v>0.86737350860853502</c:v>
                </c:pt>
                <c:pt idx="20">
                  <c:v>0.86267394362870498</c:v>
                </c:pt>
                <c:pt idx="21">
                  <c:v>0.85800540546058301</c:v>
                </c:pt>
                <c:pt idx="22">
                  <c:v>0.85336895055360695</c:v>
                </c:pt>
                <c:pt idx="23">
                  <c:v>0.84876536208378495</c:v>
                </c:pt>
                <c:pt idx="24">
                  <c:v>0.84419520867884101</c:v>
                </c:pt>
                <c:pt idx="25">
                  <c:v>0.83965888902872599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28-4EBC-9EE8-0251C7644DF6}"/>
            </c:ext>
          </c:extLst>
        </c:ser>
        <c:ser>
          <c:idx val="1"/>
          <c:order val="1"/>
          <c:tx>
            <c:strRef>
              <c:f>Eff_Curves!$H$62</c:f>
              <c:strCache>
                <c:ptCount val="1"/>
                <c:pt idx="0">
                  <c:v>1.8V_Eff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Eff_Curves!$H$63:$H$88</c:f>
              <c:numCache>
                <c:formatCode>0.00%</c:formatCode>
                <c:ptCount val="26"/>
                <c:pt idx="0">
                  <c:v>0.91225337475060397</c:v>
                </c:pt>
                <c:pt idx="1">
                  <c:v>0.939806541735003</c:v>
                </c:pt>
                <c:pt idx="2">
                  <c:v>0.95101373626565899</c:v>
                </c:pt>
                <c:pt idx="3">
                  <c:v>0.95194986698999295</c:v>
                </c:pt>
                <c:pt idx="4">
                  <c:v>0.95027661580419798</c:v>
                </c:pt>
                <c:pt idx="5">
                  <c:v>0.94756704440434203</c:v>
                </c:pt>
                <c:pt idx="6">
                  <c:v>0.94435114726180103</c:v>
                </c:pt>
                <c:pt idx="7">
                  <c:v>0.940857337871849</c:v>
                </c:pt>
                <c:pt idx="8">
                  <c:v>0.937200149928888</c:v>
                </c:pt>
                <c:pt idx="9">
                  <c:v>0.93344327051737597</c:v>
                </c:pt>
                <c:pt idx="10">
                  <c:v>0.92962488019887701</c:v>
                </c:pt>
                <c:pt idx="11">
                  <c:v>0.92576921335392504</c:v>
                </c:pt>
                <c:pt idx="12">
                  <c:v>0.92189235448384599</c:v>
                </c:pt>
                <c:pt idx="13">
                  <c:v>0.91800536617300199</c:v>
                </c:pt>
                <c:pt idx="14">
                  <c:v>0.91411607968242403</c:v>
                </c:pt>
                <c:pt idx="15">
                  <c:v>0.91023017088367597</c:v>
                </c:pt>
                <c:pt idx="16">
                  <c:v>0.90635183354089799</c:v>
                </c:pt>
                <c:pt idx="17">
                  <c:v>0.90248421541177504</c:v>
                </c:pt>
                <c:pt idx="18">
                  <c:v>0.89862970923286301</c:v>
                </c:pt>
                <c:pt idx="19">
                  <c:v>0.89479015195884704</c:v>
                </c:pt>
                <c:pt idx="20">
                  <c:v>0.89096696431330802</c:v>
                </c:pt>
                <c:pt idx="21">
                  <c:v>0.88716125051571804</c:v>
                </c:pt>
                <c:pt idx="22">
                  <c:v>0.88337387083686203</c:v>
                </c:pt>
                <c:pt idx="23">
                  <c:v>0.87960549524053</c:v>
                </c:pt>
                <c:pt idx="24">
                  <c:v>0.87585664362057802</c:v>
                </c:pt>
                <c:pt idx="25">
                  <c:v>0.87212771638188802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28-4EBC-9EE8-0251C7644DF6}"/>
            </c:ext>
          </c:extLst>
        </c:ser>
        <c:ser>
          <c:idx val="2"/>
          <c:order val="2"/>
          <c:tx>
            <c:strRef>
              <c:f>Eff_Curves!$F$62</c:f>
              <c:strCache>
                <c:ptCount val="1"/>
                <c:pt idx="0">
                  <c:v>0.8V_Eff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Eff_Curves!$F$63:$F$88</c:f>
              <c:numCache>
                <c:formatCode>0.00%</c:formatCode>
                <c:ptCount val="26"/>
                <c:pt idx="0">
                  <c:v>0.80163153857894498</c:v>
                </c:pt>
                <c:pt idx="1">
                  <c:v>0.86491462418659104</c:v>
                </c:pt>
                <c:pt idx="2">
                  <c:v>0.89405775555449496</c:v>
                </c:pt>
                <c:pt idx="3">
                  <c:v>0.89845851514883301</c:v>
                </c:pt>
                <c:pt idx="4">
                  <c:v>0.89637233349085199</c:v>
                </c:pt>
                <c:pt idx="5">
                  <c:v>0.89171128793741306</c:v>
                </c:pt>
                <c:pt idx="6">
                  <c:v>0.88581625195581903</c:v>
                </c:pt>
                <c:pt idx="7">
                  <c:v>0.87926970600893795</c:v>
                </c:pt>
                <c:pt idx="8">
                  <c:v>0.872364415544158</c:v>
                </c:pt>
                <c:pt idx="9">
                  <c:v>0.86526281955019402</c:v>
                </c:pt>
                <c:pt idx="10">
                  <c:v>0.85806165601953499</c:v>
                </c:pt>
                <c:pt idx="11">
                  <c:v>0.85082162737926503</c:v>
                </c:pt>
                <c:pt idx="12">
                  <c:v>0.843582343998038</c:v>
                </c:pt>
                <c:pt idx="13">
                  <c:v>0.83637041729063999</c:v>
                </c:pt>
                <c:pt idx="14">
                  <c:v>0.82920410532929101</c:v>
                </c:pt>
                <c:pt idx="15">
                  <c:v>0.82209611005902405</c:v>
                </c:pt>
                <c:pt idx="16">
                  <c:v>0.81505533023815402</c:v>
                </c:pt>
                <c:pt idx="17">
                  <c:v>0.80808799785010699</c:v>
                </c:pt>
                <c:pt idx="18">
                  <c:v>0.80119843658748302</c:v>
                </c:pt>
                <c:pt idx="19">
                  <c:v>0.79438958102696</c:v>
                </c:pt>
                <c:pt idx="20">
                  <c:v>0.78766333991728199</c:v>
                </c:pt>
                <c:pt idx="21">
                  <c:v>0.781020855358731</c:v>
                </c:pt>
                <c:pt idx="22">
                  <c:v>0.77446269089998199</c:v>
                </c:pt>
                <c:pt idx="23">
                  <c:v>0.76798897013460798</c:v>
                </c:pt>
                <c:pt idx="24">
                  <c:v>0.76159948021093404</c:v>
                </c:pt>
                <c:pt idx="25">
                  <c:v>0.75529375007170596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28-4EBC-9EE8-0251C7644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3718"/>
        <c:axId val="76451794"/>
      </c:scatterChart>
      <c:valAx>
        <c:axId val="6933718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6451794"/>
        <c:crosses val="autoZero"/>
        <c:crossBetween val="midCat"/>
        <c:majorUnit val="0.25"/>
      </c:valAx>
      <c:valAx>
        <c:axId val="76451794"/>
        <c:scaling>
          <c:orientation val="minMax"/>
          <c:max val="1"/>
          <c:min val="0.65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6933718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Boost efficiency with VPRE at 455kHz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Eff_Curves!$C$91</c:f>
              <c:strCache>
                <c:ptCount val="1"/>
                <c:pt idx="0">
                  <c:v>Vpre5V_Vboost5.74V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Eff_Curves!$B$92:$B$105</c:f>
              <c:numCache>
                <c:formatCode>General</c:formatCode>
                <c:ptCount val="14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</c:numCache>
            </c:numRef>
          </c:xVal>
          <c:yVal>
            <c:numRef>
              <c:f>Eff_Curves!$C$92:$C$105</c:f>
              <c:numCache>
                <c:formatCode>0.00%</c:formatCode>
                <c:ptCount val="14"/>
                <c:pt idx="0">
                  <c:v>0.755421398553765</c:v>
                </c:pt>
                <c:pt idx="1">
                  <c:v>0.80301342794689001</c:v>
                </c:pt>
                <c:pt idx="2">
                  <c:v>0.82910093874541302</c:v>
                </c:pt>
                <c:pt idx="3">
                  <c:v>0.84555794541265195</c:v>
                </c:pt>
                <c:pt idx="4">
                  <c:v>0.88030781548034698</c:v>
                </c:pt>
                <c:pt idx="5">
                  <c:v>0.892302085402088</c:v>
                </c:pt>
                <c:pt idx="6">
                  <c:v>0.89824909409342402</c:v>
                </c:pt>
                <c:pt idx="7">
                  <c:v>0.90656387308721398</c:v>
                </c:pt>
                <c:pt idx="8">
                  <c:v>0.90738036517578302</c:v>
                </c:pt>
                <c:pt idx="9">
                  <c:v>0.90671728209037195</c:v>
                </c:pt>
                <c:pt idx="10">
                  <c:v>0.90562726999313004</c:v>
                </c:pt>
                <c:pt idx="11">
                  <c:v>0.90429110952328695</c:v>
                </c:pt>
                <c:pt idx="12">
                  <c:v>0.90280148370564695</c:v>
                </c:pt>
                <c:pt idx="13">
                  <c:v>0.90120779665018402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82-4FB2-859A-42D873B29C96}"/>
            </c:ext>
          </c:extLst>
        </c:ser>
        <c:ser>
          <c:idx val="1"/>
          <c:order val="1"/>
          <c:tx>
            <c:strRef>
              <c:f>Eff_Curves!$D$91</c:f>
              <c:strCache>
                <c:ptCount val="1"/>
                <c:pt idx="0">
                  <c:v>Vpre4.1V_Vboost5.74V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Eff_Curves!$B$92:$B$105</c:f>
              <c:numCache>
                <c:formatCode>General</c:formatCode>
                <c:ptCount val="14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</c:numCache>
            </c:numRef>
          </c:xVal>
          <c:yVal>
            <c:numRef>
              <c:f>Eff_Curves!$D$92:$D$105</c:f>
              <c:numCache>
                <c:formatCode>0.00%</c:formatCode>
                <c:ptCount val="14"/>
                <c:pt idx="0">
                  <c:v>0.82575583296351396</c:v>
                </c:pt>
                <c:pt idx="1">
                  <c:v>0.84569107636947205</c:v>
                </c:pt>
                <c:pt idx="2">
                  <c:v>0.858536888628744</c:v>
                </c:pt>
                <c:pt idx="3">
                  <c:v>0.86751577017746295</c:v>
                </c:pt>
                <c:pt idx="4">
                  <c:v>0.88781791391357101</c:v>
                </c:pt>
                <c:pt idx="5">
                  <c:v>0.89513589007462102</c:v>
                </c:pt>
                <c:pt idx="6">
                  <c:v>0.89863297244182505</c:v>
                </c:pt>
                <c:pt idx="7">
                  <c:v>0.90178756374331603</c:v>
                </c:pt>
                <c:pt idx="8">
                  <c:v>0.90019387436990395</c:v>
                </c:pt>
                <c:pt idx="9">
                  <c:v>0.89729388015984402</c:v>
                </c:pt>
                <c:pt idx="10">
                  <c:v>0.89382244162633795</c:v>
                </c:pt>
                <c:pt idx="11">
                  <c:v>0.890030592780926</c:v>
                </c:pt>
                <c:pt idx="12">
                  <c:v>0.88602683734617105</c:v>
                </c:pt>
                <c:pt idx="13">
                  <c:v>0.88186524259778698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82-4FB2-859A-42D873B29C96}"/>
            </c:ext>
          </c:extLst>
        </c:ser>
        <c:ser>
          <c:idx val="2"/>
          <c:order val="2"/>
          <c:tx>
            <c:strRef>
              <c:f>Eff_Curves!$E$91</c:f>
              <c:strCache>
                <c:ptCount val="1"/>
                <c:pt idx="0">
                  <c:v>Vpre4.1V_Vboost5V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Eff_Curves!$B$92:$B$105</c:f>
              <c:numCache>
                <c:formatCode>General</c:formatCode>
                <c:ptCount val="14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</c:numCache>
            </c:numRef>
          </c:xVal>
          <c:yVal>
            <c:numRef>
              <c:f>Eff_Curves!$E$92:$E$105</c:f>
              <c:numCache>
                <c:formatCode>0.00%</c:formatCode>
                <c:ptCount val="14"/>
                <c:pt idx="0">
                  <c:v>0.80632521520497002</c:v>
                </c:pt>
                <c:pt idx="1">
                  <c:v>0.829104342534285</c:v>
                </c:pt>
                <c:pt idx="2">
                  <c:v>0.84387534954676602</c:v>
                </c:pt>
                <c:pt idx="3">
                  <c:v>0.85421871345949196</c:v>
                </c:pt>
                <c:pt idx="4">
                  <c:v>0.8792505987932</c:v>
                </c:pt>
                <c:pt idx="5">
                  <c:v>0.889422040545648</c:v>
                </c:pt>
                <c:pt idx="6">
                  <c:v>0.89324723633728997</c:v>
                </c:pt>
                <c:pt idx="7">
                  <c:v>0.89834338669050495</c:v>
                </c:pt>
                <c:pt idx="8">
                  <c:v>0.89836981896438595</c:v>
                </c:pt>
                <c:pt idx="9">
                  <c:v>0.89698186631995902</c:v>
                </c:pt>
                <c:pt idx="10">
                  <c:v>0.89498973676204596</c:v>
                </c:pt>
                <c:pt idx="11">
                  <c:v>0.89267352455052895</c:v>
                </c:pt>
                <c:pt idx="12">
                  <c:v>0.89015542457820096</c:v>
                </c:pt>
                <c:pt idx="13">
                  <c:v>0.88749698827661305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82-4FB2-859A-42D873B29C96}"/>
            </c:ext>
          </c:extLst>
        </c:ser>
        <c:ser>
          <c:idx val="3"/>
          <c:order val="3"/>
          <c:tx>
            <c:strRef>
              <c:f>Eff_Curves!$F$91</c:f>
              <c:strCache>
                <c:ptCount val="1"/>
                <c:pt idx="0">
                  <c:v>Vpre3.3V_Vboost5V</c:v>
                </c:pt>
              </c:strCache>
            </c:strRef>
          </c:tx>
          <c:spPr>
            <a:ln w="19080">
              <a:solidFill>
                <a:srgbClr val="8064A2"/>
              </a:solidFill>
              <a:round/>
            </a:ln>
          </c:spPr>
          <c:marker>
            <c:symbol val="circle"/>
            <c:size val="5"/>
            <c:spPr>
              <a:solidFill>
                <a:srgbClr val="8064A2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Eff_Curves!$B$92:$B$105</c:f>
              <c:numCache>
                <c:formatCode>General</c:formatCode>
                <c:ptCount val="14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</c:numCache>
            </c:numRef>
          </c:xVal>
          <c:yVal>
            <c:numRef>
              <c:f>Eff_Curves!$F$92:$F$105</c:f>
              <c:numCache>
                <c:formatCode>0.00%</c:formatCode>
                <c:ptCount val="14"/>
                <c:pt idx="0">
                  <c:v>0.81174605109459697</c:v>
                </c:pt>
                <c:pt idx="1">
                  <c:v>0.83284642911552498</c:v>
                </c:pt>
                <c:pt idx="2">
                  <c:v>0.84635742318643503</c:v>
                </c:pt>
                <c:pt idx="3">
                  <c:v>0.85577037249901799</c:v>
                </c:pt>
                <c:pt idx="4">
                  <c:v>0.87794593243845498</c:v>
                </c:pt>
                <c:pt idx="5">
                  <c:v>0.88592133154757802</c:v>
                </c:pt>
                <c:pt idx="6">
                  <c:v>0.88950239051162805</c:v>
                </c:pt>
                <c:pt idx="7">
                  <c:v>0.89143942622376704</c:v>
                </c:pt>
                <c:pt idx="8">
                  <c:v>0.88792219441981302</c:v>
                </c:pt>
                <c:pt idx="9">
                  <c:v>0.88286379974818796</c:v>
                </c:pt>
                <c:pt idx="10">
                  <c:v>0.87709638417615898</c:v>
                </c:pt>
                <c:pt idx="11">
                  <c:v>0.87090255893225199</c:v>
                </c:pt>
                <c:pt idx="12">
                  <c:v>0.864403127690478</c:v>
                </c:pt>
                <c:pt idx="13">
                  <c:v>0.85765707980496997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E82-4FB2-859A-42D873B29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51677"/>
        <c:axId val="55868337"/>
      </c:scatterChart>
      <c:valAx>
        <c:axId val="60951677"/>
        <c:scaling>
          <c:orientation val="minMax"/>
          <c:max val="0.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5868337"/>
        <c:crosses val="autoZero"/>
        <c:crossBetween val="midCat"/>
      </c:valAx>
      <c:valAx>
        <c:axId val="55868337"/>
        <c:scaling>
          <c:orientation val="minMax"/>
          <c:max val="1"/>
          <c:min val="0.7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60951677"/>
        <c:crosses val="autoZero"/>
        <c:crossBetween val="midCat"/>
        <c:majorUnit val="2.5000000000000001E-2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VPRE efficiency 2.2MHz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Eff_Curves!$F$7</c:f>
              <c:strCache>
                <c:ptCount val="1"/>
                <c:pt idx="0">
                  <c:v>5V_Eff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Eff_Curves!$F$8:$F$30</c:f>
              <c:numCache>
                <c:formatCode>0.00%</c:formatCode>
                <c:ptCount val="23"/>
                <c:pt idx="0">
                  <c:v>0.74935929717215</c:v>
                </c:pt>
                <c:pt idx="1">
                  <c:v>0.80132634271117598</c:v>
                </c:pt>
                <c:pt idx="2">
                  <c:v>0.83189323163903395</c:v>
                </c:pt>
                <c:pt idx="3">
                  <c:v>0.85184111259531003</c:v>
                </c:pt>
                <c:pt idx="4">
                  <c:v>0.89409204070413095</c:v>
                </c:pt>
                <c:pt idx="5">
                  <c:v>0.90662350097746303</c:v>
                </c:pt>
                <c:pt idx="6">
                  <c:v>0.91074836328896203</c:v>
                </c:pt>
                <c:pt idx="7">
                  <c:v>0.91135621160805802</c:v>
                </c:pt>
                <c:pt idx="8">
                  <c:v>0.91017697436839395</c:v>
                </c:pt>
                <c:pt idx="9">
                  <c:v>0.90797785640960404</c:v>
                </c:pt>
                <c:pt idx="10">
                  <c:v>0.90515101365587802</c:v>
                </c:pt>
                <c:pt idx="11">
                  <c:v>0.90191759046800501</c:v>
                </c:pt>
                <c:pt idx="12">
                  <c:v>0.89841163000544499</c:v>
                </c:pt>
                <c:pt idx="13">
                  <c:v>0.894718996653868</c:v>
                </c:pt>
                <c:pt idx="14">
                  <c:v>0.89089714210958704</c:v>
                </c:pt>
                <c:pt idx="15">
                  <c:v>0.88698588064472705</c:v>
                </c:pt>
                <c:pt idx="16">
                  <c:v>0.88301360843113397</c:v>
                </c:pt>
                <c:pt idx="17">
                  <c:v>0.87900106628766606</c:v>
                </c:pt>
                <c:pt idx="18">
                  <c:v>0.87496370792246603</c:v>
                </c:pt>
                <c:pt idx="19">
                  <c:v>0.87091324149923</c:v>
                </c:pt>
                <c:pt idx="20">
                  <c:v>0.86685866263911504</c:v>
                </c:pt>
                <c:pt idx="21">
                  <c:v>0.86280696436180804</c:v>
                </c:pt>
                <c:pt idx="22">
                  <c:v>0.858763635970062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C7-42FA-B39D-56420361D2B8}"/>
            </c:ext>
          </c:extLst>
        </c:ser>
        <c:ser>
          <c:idx val="1"/>
          <c:order val="1"/>
          <c:tx>
            <c:strRef>
              <c:f>Eff_Curves!$G$7</c:f>
              <c:strCache>
                <c:ptCount val="1"/>
                <c:pt idx="0">
                  <c:v>4.1V_Eff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Eff_Curves!$G$8:$G$30</c:f>
              <c:numCache>
                <c:formatCode>0.00%</c:formatCode>
                <c:ptCount val="23"/>
                <c:pt idx="0">
                  <c:v>0.72009032511142801</c:v>
                </c:pt>
                <c:pt idx="1">
                  <c:v>0.77345107462880902</c:v>
                </c:pt>
                <c:pt idx="2">
                  <c:v>0.805902502771767</c:v>
                </c:pt>
                <c:pt idx="3">
                  <c:v>0.827525236169939</c:v>
                </c:pt>
                <c:pt idx="4">
                  <c:v>0.87454409614305295</c:v>
                </c:pt>
                <c:pt idx="5">
                  <c:v>0.88883142345802502</c:v>
                </c:pt>
                <c:pt idx="6">
                  <c:v>0.89357518020266302</c:v>
                </c:pt>
                <c:pt idx="7">
                  <c:v>0.89427740659930399</c:v>
                </c:pt>
                <c:pt idx="8">
                  <c:v>0.89291495574902102</c:v>
                </c:pt>
                <c:pt idx="9">
                  <c:v>0.89037245390124697</c:v>
                </c:pt>
                <c:pt idx="10">
                  <c:v>0.88710470063617197</c:v>
                </c:pt>
                <c:pt idx="11">
                  <c:v>0.88336915789065096</c:v>
                </c:pt>
                <c:pt idx="12">
                  <c:v>0.87932227709912403</c:v>
                </c:pt>
                <c:pt idx="13">
                  <c:v>0.87506442722187305</c:v>
                </c:pt>
                <c:pt idx="14">
                  <c:v>0.87066280727206102</c:v>
                </c:pt>
                <c:pt idx="15">
                  <c:v>0.86616397882819995</c:v>
                </c:pt>
                <c:pt idx="16">
                  <c:v>0.86160111939255102</c:v>
                </c:pt>
                <c:pt idx="17">
                  <c:v>0.85699842066690501</c:v>
                </c:pt>
                <c:pt idx="18">
                  <c:v>0.85237386203947896</c:v>
                </c:pt>
                <c:pt idx="19">
                  <c:v>0.84774101883036901</c:v>
                </c:pt>
                <c:pt idx="20">
                  <c:v>0.84311027564213703</c:v>
                </c:pt>
                <c:pt idx="21">
                  <c:v>0.83848966120915003</c:v>
                </c:pt>
                <c:pt idx="22">
                  <c:v>0.83388543562777695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C7-42FA-B39D-56420361D2B8}"/>
            </c:ext>
          </c:extLst>
        </c:ser>
        <c:ser>
          <c:idx val="2"/>
          <c:order val="2"/>
          <c:tx>
            <c:strRef>
              <c:f>Eff_Curves!$H$7</c:f>
              <c:strCache>
                <c:ptCount val="1"/>
                <c:pt idx="0">
                  <c:v>3.3V_Eff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Eff_Curves!$H$8:$H$30</c:f>
              <c:numCache>
                <c:formatCode>0.00%</c:formatCode>
                <c:ptCount val="23"/>
                <c:pt idx="0">
                  <c:v>0.68229253786461697</c:v>
                </c:pt>
                <c:pt idx="1">
                  <c:v>0.737941200792815</c:v>
                </c:pt>
                <c:pt idx="2">
                  <c:v>0.772842904699648</c:v>
                </c:pt>
                <c:pt idx="3">
                  <c:v>0.79656295494371199</c:v>
                </c:pt>
                <c:pt idx="4">
                  <c:v>0.84949924958551803</c:v>
                </c:pt>
                <c:pt idx="5">
                  <c:v>0.86599377921384402</c:v>
                </c:pt>
                <c:pt idx="6">
                  <c:v>0.87153804494159803</c:v>
                </c:pt>
                <c:pt idx="7">
                  <c:v>0.87238889289880905</c:v>
                </c:pt>
                <c:pt idx="8">
                  <c:v>0.87083010100931901</c:v>
                </c:pt>
                <c:pt idx="9">
                  <c:v>0.86789308114785901</c:v>
                </c:pt>
                <c:pt idx="10">
                  <c:v>0.86411120496425697</c:v>
                </c:pt>
                <c:pt idx="11">
                  <c:v>0.85978755421174402</c:v>
                </c:pt>
                <c:pt idx="12">
                  <c:v>0.85510672407375199</c:v>
                </c:pt>
                <c:pt idx="13">
                  <c:v>0.850187269522513</c:v>
                </c:pt>
                <c:pt idx="14">
                  <c:v>0.845108570537487</c:v>
                </c:pt>
                <c:pt idx="15">
                  <c:v>0.83992557828846603</c:v>
                </c:pt>
                <c:pt idx="16">
                  <c:v>0.83467737402335895</c:v>
                </c:pt>
                <c:pt idx="17">
                  <c:v>0.82939237117573095</c:v>
                </c:pt>
                <c:pt idx="18">
                  <c:v>0.82409160213861898</c:v>
                </c:pt>
                <c:pt idx="19">
                  <c:v>0.81879086464928996</c:v>
                </c:pt>
                <c:pt idx="20">
                  <c:v>0.81350216398559305</c:v>
                </c:pt>
                <c:pt idx="21">
                  <c:v>0.80823470638035999</c:v>
                </c:pt>
                <c:pt idx="22">
                  <c:v>0.80299559841464996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3C7-42FA-B39D-56420361D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06795"/>
        <c:axId val="77488356"/>
      </c:scatterChart>
      <c:valAx>
        <c:axId val="59206795"/>
        <c:scaling>
          <c:orientation val="minMax"/>
          <c:max val="6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7488356"/>
        <c:crosses val="autoZero"/>
        <c:crossBetween val="midCat"/>
        <c:majorUnit val="0.5"/>
      </c:valAx>
      <c:valAx>
        <c:axId val="77488356"/>
        <c:scaling>
          <c:orientation val="minMax"/>
          <c:max val="0.95"/>
          <c:min val="0.55000000000000004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9206795"/>
        <c:crosses val="autoZero"/>
        <c:crossBetween val="midCat"/>
        <c:majorUnit val="2.5000000000000001E-2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BUCK1 efficiency (VPRE=3.3V)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Eff_Curves!$I$33</c:f>
              <c:strCache>
                <c:ptCount val="1"/>
                <c:pt idx="0">
                  <c:v>0.8V_Eff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Eff_Curves!$I$34:$I$59</c:f>
              <c:numCache>
                <c:formatCode>0.00%</c:formatCode>
                <c:ptCount val="26"/>
                <c:pt idx="0">
                  <c:v>0.74283305918326104</c:v>
                </c:pt>
                <c:pt idx="1">
                  <c:v>0.82491155089990398</c:v>
                </c:pt>
                <c:pt idx="2">
                  <c:v>0.86504646761097204</c:v>
                </c:pt>
                <c:pt idx="3">
                  <c:v>0.871968787406734</c:v>
                </c:pt>
                <c:pt idx="4">
                  <c:v>0.86998134540156302</c:v>
                </c:pt>
                <c:pt idx="5">
                  <c:v>0.86444381855562202</c:v>
                </c:pt>
                <c:pt idx="6">
                  <c:v>0.85721488337495499</c:v>
                </c:pt>
                <c:pt idx="7">
                  <c:v>0.84910633153797799</c:v>
                </c:pt>
                <c:pt idx="8">
                  <c:v>0.84052684288413204</c:v>
                </c:pt>
                <c:pt idx="9">
                  <c:v>0.83170284662372296</c:v>
                </c:pt>
                <c:pt idx="10">
                  <c:v>0.82276860345605596</c:v>
                </c:pt>
                <c:pt idx="11">
                  <c:v>0.81380773284707897</c:v>
                </c:pt>
                <c:pt idx="12">
                  <c:v>0.80487419760638201</c:v>
                </c:pt>
                <c:pt idx="13">
                  <c:v>0.79600369512788505</c:v>
                </c:pt>
                <c:pt idx="14">
                  <c:v>0.78722020703478701</c:v>
                </c:pt>
                <c:pt idx="15">
                  <c:v>0.77853994706579799</c:v>
                </c:pt>
                <c:pt idx="16">
                  <c:v>0.76997383637379202</c:v>
                </c:pt>
                <c:pt idx="17">
                  <c:v>0.76152910815517805</c:v>
                </c:pt>
                <c:pt idx="18">
                  <c:v>0.75321037795990498</c:v>
                </c:pt>
                <c:pt idx="19">
                  <c:v>0.74502037538189103</c:v>
                </c:pt>
                <c:pt idx="20">
                  <c:v>0.73696045505329899</c:v>
                </c:pt>
                <c:pt idx="21">
                  <c:v>0.72903096021285196</c:v>
                </c:pt>
                <c:pt idx="22">
                  <c:v>0.72123148562324402</c:v>
                </c:pt>
                <c:pt idx="23">
                  <c:v>0.71356107042625905</c:v>
                </c:pt>
                <c:pt idx="24">
                  <c:v>0.706018341374967</c:v>
                </c:pt>
                <c:pt idx="25">
                  <c:v>0.69860162036815499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AB-4153-AF13-F3B63B95E27E}"/>
            </c:ext>
          </c:extLst>
        </c:ser>
        <c:ser>
          <c:idx val="1"/>
          <c:order val="1"/>
          <c:tx>
            <c:strRef>
              <c:f>Eff_Curves!$J$33</c:f>
              <c:strCache>
                <c:ptCount val="1"/>
                <c:pt idx="0">
                  <c:v>1.25V_Eff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Eff_Curves!$J$34:$J$59</c:f>
              <c:numCache>
                <c:formatCode>0.00%</c:formatCode>
                <c:ptCount val="26"/>
                <c:pt idx="0">
                  <c:v>0.81448476935024305</c:v>
                </c:pt>
                <c:pt idx="1">
                  <c:v>0.876121042317618</c:v>
                </c:pt>
                <c:pt idx="2">
                  <c:v>0.90453920145598399</c:v>
                </c:pt>
                <c:pt idx="3">
                  <c:v>0.908992650706549</c:v>
                </c:pt>
                <c:pt idx="4">
                  <c:v>0.90716601978065003</c:v>
                </c:pt>
                <c:pt idx="5">
                  <c:v>0.90283792232627502</c:v>
                </c:pt>
                <c:pt idx="6">
                  <c:v>0.89730229547183904</c:v>
                </c:pt>
                <c:pt idx="7">
                  <c:v>0.89112125236902295</c:v>
                </c:pt>
                <c:pt idx="8">
                  <c:v>0.88457756035564095</c:v>
                </c:pt>
                <c:pt idx="9">
                  <c:v>0.87782837846359696</c:v>
                </c:pt>
                <c:pt idx="10">
                  <c:v>0.87096755326544395</c:v>
                </c:pt>
                <c:pt idx="11">
                  <c:v>0.86405420263632204</c:v>
                </c:pt>
                <c:pt idx="12">
                  <c:v>0.85712711008605402</c:v>
                </c:pt>
                <c:pt idx="13">
                  <c:v>0.85021251894395</c:v>
                </c:pt>
                <c:pt idx="14">
                  <c:v>0.84332860596297998</c:v>
                </c:pt>
                <c:pt idx="15">
                  <c:v>0.83648817498043004</c:v>
                </c:pt>
                <c:pt idx="16">
                  <c:v>0.82970034515394897</c:v>
                </c:pt>
                <c:pt idx="17">
                  <c:v>0.82297164568237502</c:v>
                </c:pt>
                <c:pt idx="18">
                  <c:v>0.816306746736288</c:v>
                </c:pt>
                <c:pt idx="19">
                  <c:v>0.80970896004000303</c:v>
                </c:pt>
                <c:pt idx="20">
                  <c:v>0.80318058940168102</c:v>
                </c:pt>
                <c:pt idx="21">
                  <c:v>0.796723181024939</c:v>
                </c:pt>
                <c:pt idx="22">
                  <c:v>0.79033770538487702</c:v>
                </c:pt>
                <c:pt idx="23">
                  <c:v>0.78402469143740505</c:v>
                </c:pt>
                <c:pt idx="24">
                  <c:v>0.77778432703200395</c:v>
                </c:pt>
                <c:pt idx="25">
                  <c:v>0.77161653497421301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AB-4153-AF13-F3B63B95E27E}"/>
            </c:ext>
          </c:extLst>
        </c:ser>
        <c:ser>
          <c:idx val="2"/>
          <c:order val="2"/>
          <c:tx>
            <c:strRef>
              <c:f>Eff_Curves!$K$33</c:f>
              <c:strCache>
                <c:ptCount val="1"/>
                <c:pt idx="0">
                  <c:v>1.8V_Eff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Eff_Curves!$K$34:$K$59</c:f>
              <c:numCache>
                <c:formatCode>0.00%</c:formatCode>
                <c:ptCount val="26"/>
                <c:pt idx="0">
                  <c:v>0.86045211067796501</c:v>
                </c:pt>
                <c:pt idx="1">
                  <c:v>0.90722216374100995</c:v>
                </c:pt>
                <c:pt idx="2">
                  <c:v>0.92783043375820895</c:v>
                </c:pt>
                <c:pt idx="3">
                  <c:v>0.93066083960185098</c:v>
                </c:pt>
                <c:pt idx="4">
                  <c:v>0.92889832228152502</c:v>
                </c:pt>
                <c:pt idx="5">
                  <c:v>0.92530737329122204</c:v>
                </c:pt>
                <c:pt idx="6">
                  <c:v>0.92082745696227397</c:v>
                </c:pt>
                <c:pt idx="7">
                  <c:v>0.91586524007457004</c:v>
                </c:pt>
                <c:pt idx="8">
                  <c:v>0.910625059451178</c:v>
                </c:pt>
                <c:pt idx="9">
                  <c:v>0.90522057607464301</c:v>
                </c:pt>
                <c:pt idx="10">
                  <c:v>0.89971984677999095</c:v>
                </c:pt>
                <c:pt idx="11">
                  <c:v>0.894165948053254</c:v>
                </c:pt>
                <c:pt idx="12">
                  <c:v>0.88858734033443598</c:v>
                </c:pt>
                <c:pt idx="13">
                  <c:v>0.88300347110734001</c:v>
                </c:pt>
                <c:pt idx="14">
                  <c:v>0.87742798695587398</c:v>
                </c:pt>
                <c:pt idx="15">
                  <c:v>0.871870665843822</c:v>
                </c:pt>
                <c:pt idx="16">
                  <c:v>0.86633862737873601</c:v>
                </c:pt>
                <c:pt idx="17">
                  <c:v>0.86083711729300605</c:v>
                </c:pt>
                <c:pt idx="18">
                  <c:v>0.85537003116513399</c:v>
                </c:pt>
                <c:pt idx="19">
                  <c:v>0.84994027314531595</c:v>
                </c:pt>
                <c:pt idx="20">
                  <c:v>0.84455000726128804</c:v>
                </c:pt>
                <c:pt idx="21">
                  <c:v>0.83920083701070303</c:v>
                </c:pt>
                <c:pt idx="22">
                  <c:v>0.83389393599831496</c:v>
                </c:pt>
                <c:pt idx="23">
                  <c:v>0.82863014448133199</c:v>
                </c:pt>
                <c:pt idx="24">
                  <c:v>0.82341004174436905</c:v>
                </c:pt>
                <c:pt idx="25">
                  <c:v>0.81823400105828703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AB-4153-AF13-F3B63B95E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13427"/>
        <c:axId val="36460190"/>
      </c:scatterChart>
      <c:valAx>
        <c:axId val="76213427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Axis Title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6460190"/>
        <c:crosses val="autoZero"/>
        <c:crossBetween val="midCat"/>
        <c:majorUnit val="0.25"/>
      </c:valAx>
      <c:valAx>
        <c:axId val="36460190"/>
        <c:scaling>
          <c:orientation val="minMax"/>
          <c:max val="1"/>
          <c:min val="0.6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4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6213427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BUCK3 efficiency (VPRE=3.3V)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Eff_Curves!$I$62</c:f>
              <c:strCache>
                <c:ptCount val="1"/>
                <c:pt idx="0">
                  <c:v>1.2V_Eff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Eff_Curves!$I$63:$I$88</c:f>
              <c:numCache>
                <c:formatCode>0.00%</c:formatCode>
                <c:ptCount val="26"/>
                <c:pt idx="0">
                  <c:v>0.80732403848688605</c:v>
                </c:pt>
                <c:pt idx="1">
                  <c:v>0.87083033027807999</c:v>
                </c:pt>
                <c:pt idx="2">
                  <c:v>0.899790904398029</c:v>
                </c:pt>
                <c:pt idx="3">
                  <c:v>0.903859477729821</c:v>
                </c:pt>
                <c:pt idx="4">
                  <c:v>0.901408590347894</c:v>
                </c:pt>
                <c:pt idx="5">
                  <c:v>0.89637494830890996</c:v>
                </c:pt>
                <c:pt idx="6">
                  <c:v>0.89010765000718595</c:v>
                </c:pt>
                <c:pt idx="7">
                  <c:v>0.88319259231487801</c:v>
                </c:pt>
                <c:pt idx="8">
                  <c:v>0.87592413181171702</c:v>
                </c:pt>
                <c:pt idx="9">
                  <c:v>0.86846548463590401</c:v>
                </c:pt>
                <c:pt idx="10">
                  <c:v>0.86091376088601601</c:v>
                </c:pt>
                <c:pt idx="11">
                  <c:v>0.85332981724721002</c:v>
                </c:pt>
                <c:pt idx="12">
                  <c:v>0.84575329447338798</c:v>
                </c:pt>
                <c:pt idx="13">
                  <c:v>0.83821076115411097</c:v>
                </c:pt>
                <c:pt idx="14">
                  <c:v>0.83072038822287997</c:v>
                </c:pt>
                <c:pt idx="15">
                  <c:v>0.82329476341871299</c:v>
                </c:pt>
                <c:pt idx="16">
                  <c:v>0.81594265490343298</c:v>
                </c:pt>
                <c:pt idx="17">
                  <c:v>0.80867015448146495</c:v>
                </c:pt>
                <c:pt idx="18">
                  <c:v>0.80148144052801495</c:v>
                </c:pt>
                <c:pt idx="19">
                  <c:v>0.79437930011770597</c:v>
                </c:pt>
                <c:pt idx="20">
                  <c:v>0.78736549430094105</c:v>
                </c:pt>
                <c:pt idx="21">
                  <c:v>0.78044101863182802</c:v>
                </c:pt>
                <c:pt idx="22">
                  <c:v>0.77360629218072596</c:v>
                </c:pt>
                <c:pt idx="23">
                  <c:v>0.766861296748794</c:v>
                </c:pt>
                <c:pt idx="24">
                  <c:v>0.76020568078817896</c:v>
                </c:pt>
                <c:pt idx="25">
                  <c:v>0.75363883790537001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24-4FBF-B971-6EAA518E7F06}"/>
            </c:ext>
          </c:extLst>
        </c:ser>
        <c:ser>
          <c:idx val="1"/>
          <c:order val="1"/>
          <c:tx>
            <c:strRef>
              <c:f>Eff_Curves!$J$62</c:f>
              <c:strCache>
                <c:ptCount val="1"/>
                <c:pt idx="0">
                  <c:v>2.3V_Eff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Eff_Curves!$J$63:$J$88</c:f>
              <c:numCache>
                <c:formatCode>0.00%</c:formatCode>
                <c:ptCount val="26"/>
                <c:pt idx="0">
                  <c:v>0.88525235157481497</c:v>
                </c:pt>
                <c:pt idx="1">
                  <c:v>0.92321038434179103</c:v>
                </c:pt>
                <c:pt idx="2">
                  <c:v>0.93911346283119701</c:v>
                </c:pt>
                <c:pt idx="3">
                  <c:v>0.94067055105975705</c:v>
                </c:pt>
                <c:pt idx="4">
                  <c:v>0.93855592174022595</c:v>
                </c:pt>
                <c:pt idx="5">
                  <c:v>0.93498560788714602</c:v>
                </c:pt>
                <c:pt idx="6">
                  <c:v>0.93070954946623197</c:v>
                </c:pt>
                <c:pt idx="7">
                  <c:v>0.92605162379010098</c:v>
                </c:pt>
                <c:pt idx="8">
                  <c:v>0.92117434335330695</c:v>
                </c:pt>
                <c:pt idx="9">
                  <c:v>0.916168032056489</c:v>
                </c:pt>
                <c:pt idx="10">
                  <c:v>0.91108675318041799</c:v>
                </c:pt>
                <c:pt idx="11">
                  <c:v>0.905964725931941</c:v>
                </c:pt>
                <c:pt idx="12">
                  <c:v>0.90082456651479603</c:v>
                </c:pt>
                <c:pt idx="13">
                  <c:v>0.89568173958145503</c:v>
                </c:pt>
                <c:pt idx="14">
                  <c:v>0.89054710835253503</c:v>
                </c:pt>
                <c:pt idx="15">
                  <c:v>0.88542846784288298</c:v>
                </c:pt>
                <c:pt idx="16">
                  <c:v>0.88033150474737398</c:v>
                </c:pt>
                <c:pt idx="17">
                  <c:v>0.87526041940103105</c:v>
                </c:pt>
                <c:pt idx="18">
                  <c:v>0.87021834087979399</c:v>
                </c:pt>
                <c:pt idx="19">
                  <c:v>0.86520761126257695</c:v>
                </c:pt>
                <c:pt idx="20">
                  <c:v>0.86022998474025802</c:v>
                </c:pt>
                <c:pt idx="21">
                  <c:v>0.855286769893157</c:v>
                </c:pt>
                <c:pt idx="22">
                  <c:v>0.85037893318230795</c:v>
                </c:pt>
                <c:pt idx="23">
                  <c:v>0.84550717543630505</c:v>
                </c:pt>
                <c:pt idx="24">
                  <c:v>0.84067198919609698</c:v>
                </c:pt>
                <c:pt idx="25">
                  <c:v>0.83587370226890101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24-4FBF-B971-6EAA518E7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82000"/>
        <c:axId val="51659232"/>
      </c:scatterChart>
      <c:valAx>
        <c:axId val="52182000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1659232"/>
        <c:crosses val="autoZero"/>
        <c:crossBetween val="midCat"/>
        <c:majorUnit val="0.25"/>
      </c:valAx>
      <c:valAx>
        <c:axId val="51659232"/>
        <c:scaling>
          <c:orientation val="minMax"/>
          <c:max val="1"/>
          <c:min val="0.65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2182000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Boost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Boost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FDF6-4F8F-813C-BC1B180A47D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FDF6-4F8F-813C-BC1B180A47D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FDF6-4F8F-813C-BC1B180A47DC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FDF6-4F8F-813C-BC1B180A47D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(FS84_QFN48EP_PDTCALC!$K$31:$K$33,FS84_QFN48EP_PDTCALC!$N$33)</c:f>
              <c:strCache>
                <c:ptCount val="4"/>
                <c:pt idx="0">
                  <c:v>P_LS_cond</c:v>
                </c:pt>
                <c:pt idx="1">
                  <c:v>P_LS_sw</c:v>
                </c:pt>
                <c:pt idx="2">
                  <c:v>P_diode</c:v>
                </c:pt>
                <c:pt idx="3">
                  <c:v>P_L</c:v>
                </c:pt>
              </c:strCache>
            </c:strRef>
          </c:cat>
          <c:val>
            <c:numRef>
              <c:f>(FS84_QFN48EP_PDTCALC!$L$31:$L$33,FS84_QFN48EP_PDTCALC!$O$33)</c:f>
              <c:numCache>
                <c:formatCode>0.000" W"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F6-4F8F-813C-BC1B180A4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Buck1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Buck1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00A0-44B9-A18D-25030A602109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00A0-44B9-A18D-25030A602109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00A0-44B9-A18D-25030A602109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00A0-44B9-A18D-25030A602109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00A0-44B9-A18D-25030A60210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(FS84_QFN48EP_PDTCALC!$B$57:$B$60,FS84_QFN48EP_PDTCALC!$E$59)</c:f>
              <c:strCache>
                <c:ptCount val="5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</c:strCache>
            </c:strRef>
          </c:cat>
          <c:val>
            <c:numRef>
              <c:f>(FS84_QFN48EP_PDTCALC!$C$57:$C$60,FS84_QFN48EP_PDTCALC!$F$59)</c:f>
              <c:numCache>
                <c:formatCode>0.000" W"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A0-44B9-A18D-25030A602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Buck3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Buck3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E562-410D-9052-9FE8892D383A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E562-410D-9052-9FE8892D383A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E562-410D-9052-9FE8892D383A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E562-410D-9052-9FE8892D383A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E562-410D-9052-9FE8892D383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(FS84_QFN48EP_PDTCALC!$K$57:$K$60,FS84_QFN48EP_PDTCALC!$N$59)</c:f>
              <c:strCache>
                <c:ptCount val="5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</c:strCache>
            </c:strRef>
          </c:cat>
          <c:val>
            <c:numRef>
              <c:f>(FS84_QFN48EP_PDTCALC!$L$57:$L$60,FS84_QFN48EP_PDTCALC!$O$59)</c:f>
              <c:numCache>
                <c:formatCode>0.000" W"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62-410D-9052-9FE8892D3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FS85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FS85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5AFD-4683-A862-9E305B956B76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5AFD-4683-A862-9E305B956B76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5AFD-4683-A862-9E305B956B76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5AFD-4683-A862-9E305B956B76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5AFD-4683-A862-9E305B956B76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5AFD-4683-A862-9E305B956B76}"/>
              </c:ext>
            </c:extLst>
          </c:dPt>
          <c:dPt>
            <c:idx val="6"/>
            <c:bubble3D val="0"/>
            <c:spPr>
              <a:solidFill>
                <a:srgbClr val="2C4D75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5AFD-4683-A862-9E305B956B76}"/>
              </c:ext>
            </c:extLst>
          </c:dPt>
          <c:dPt>
            <c:idx val="7"/>
            <c:bubble3D val="0"/>
            <c:spPr>
              <a:solidFill>
                <a:srgbClr val="772C2A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5AFD-4683-A862-9E305B956B76}"/>
              </c:ext>
            </c:extLst>
          </c:dPt>
          <c:dLbls>
            <c:dLbl>
              <c:idx val="6"/>
              <c:layout>
                <c:manualLayout>
                  <c:x val="-7.2988206123948657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FD-4683-A862-9E305B956B7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FS84_QFN48EP_PDTCALC!$Z$11:$Z$17</c:f>
              <c:strCache>
                <c:ptCount val="7"/>
                <c:pt idx="0">
                  <c:v>Vpre</c:v>
                </c:pt>
                <c:pt idx="1">
                  <c:v>Boost</c:v>
                </c:pt>
                <c:pt idx="2">
                  <c:v>Buck1</c:v>
                </c:pt>
                <c:pt idx="3">
                  <c:v>Buck3</c:v>
                </c:pt>
                <c:pt idx="4">
                  <c:v>LDO1</c:v>
                </c:pt>
                <c:pt idx="5">
                  <c:v>LDO2</c:v>
                </c:pt>
                <c:pt idx="6">
                  <c:v>Int. IC</c:v>
                </c:pt>
              </c:strCache>
            </c:strRef>
          </c:cat>
          <c:val>
            <c:numRef>
              <c:f>FS84_QFN48EP_PDTCALC!$AA$11:$AA$17</c:f>
              <c:numCache>
                <c:formatCode>0.000" W"</c:formatCode>
                <c:ptCount val="7"/>
                <c:pt idx="0">
                  <c:v>1.7762500000000001E-2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AFD-4683-A862-9E305B95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VPRE efficiency 455kHz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Eff_Curves!$C$7</c:f>
              <c:strCache>
                <c:ptCount val="1"/>
                <c:pt idx="0">
                  <c:v>5V_Eff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Eff_Curves!$C$8:$C$30</c:f>
              <c:numCache>
                <c:formatCode>0.00%</c:formatCode>
                <c:ptCount val="23"/>
                <c:pt idx="0">
                  <c:v>0.924641340574339</c:v>
                </c:pt>
                <c:pt idx="1">
                  <c:v>0.94374409678480198</c:v>
                </c:pt>
                <c:pt idx="2">
                  <c:v>0.95323248365176205</c:v>
                </c:pt>
                <c:pt idx="3">
                  <c:v>0.95864595224239901</c:v>
                </c:pt>
                <c:pt idx="4">
                  <c:v>0.96652923507184796</c:v>
                </c:pt>
                <c:pt idx="5">
                  <c:v>0.96561003599466999</c:v>
                </c:pt>
                <c:pt idx="6">
                  <c:v>0.96246735515647996</c:v>
                </c:pt>
                <c:pt idx="7">
                  <c:v>0.95845967662596498</c:v>
                </c:pt>
                <c:pt idx="8">
                  <c:v>0.95404542891419497</c:v>
                </c:pt>
                <c:pt idx="9">
                  <c:v>0.94942209452664605</c:v>
                </c:pt>
                <c:pt idx="10">
                  <c:v>0.94468846923261196</c:v>
                </c:pt>
                <c:pt idx="11">
                  <c:v>0.93989924636304201</c:v>
                </c:pt>
                <c:pt idx="12">
                  <c:v>0.93508698604205498</c:v>
                </c:pt>
                <c:pt idx="13">
                  <c:v>0.93027214612448195</c:v>
                </c:pt>
                <c:pt idx="14">
                  <c:v>0.92546811476906099</c:v>
                </c:pt>
                <c:pt idx="15">
                  <c:v>0.92068392748804595</c:v>
                </c:pt>
                <c:pt idx="16">
                  <c:v>0.91592582300856096</c:v>
                </c:pt>
                <c:pt idx="17">
                  <c:v>0.91119817833976202</c:v>
                </c:pt>
                <c:pt idx="18">
                  <c:v>0.90650409394401199</c:v>
                </c:pt>
                <c:pt idx="19">
                  <c:v>0.90184577274008604</c:v>
                </c:pt>
                <c:pt idx="20">
                  <c:v>0.89722477293454495</c:v>
                </c:pt>
                <c:pt idx="21">
                  <c:v>0.89264218106831705</c:v>
                </c:pt>
                <c:pt idx="22">
                  <c:v>0.88809873314909005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39-46C7-AE5F-5629FC98F342}"/>
            </c:ext>
          </c:extLst>
        </c:ser>
        <c:ser>
          <c:idx val="1"/>
          <c:order val="1"/>
          <c:tx>
            <c:strRef>
              <c:f>Eff_Curves!$D$7</c:f>
              <c:strCache>
                <c:ptCount val="1"/>
                <c:pt idx="0">
                  <c:v>4.1V_Eff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Eff_Curves!$D$8:$D$30</c:f>
              <c:numCache>
                <c:formatCode>0.00%</c:formatCode>
                <c:ptCount val="23"/>
                <c:pt idx="0">
                  <c:v>0.91200697923576901</c:v>
                </c:pt>
                <c:pt idx="1">
                  <c:v>0.93355775697554</c:v>
                </c:pt>
                <c:pt idx="2">
                  <c:v>0.94442753219647702</c:v>
                </c:pt>
                <c:pt idx="3">
                  <c:v>0.95067769043198402</c:v>
                </c:pt>
                <c:pt idx="4">
                  <c:v>0.95981805572132795</c:v>
                </c:pt>
                <c:pt idx="5">
                  <c:v>0.95868577125342502</c:v>
                </c:pt>
                <c:pt idx="6">
                  <c:v>0.95493991808915801</c:v>
                </c:pt>
                <c:pt idx="7">
                  <c:v>0.95018080552802497</c:v>
                </c:pt>
                <c:pt idx="8">
                  <c:v>0.94495093898504201</c:v>
                </c:pt>
                <c:pt idx="9">
                  <c:v>0.93948445299026195</c:v>
                </c:pt>
                <c:pt idx="10">
                  <c:v>0.93389848942546605</c:v>
                </c:pt>
                <c:pt idx="11">
                  <c:v>0.92825780137215697</c:v>
                </c:pt>
                <c:pt idx="12">
                  <c:v>0.92260081607202904</c:v>
                </c:pt>
                <c:pt idx="13">
                  <c:v>0.91695155519541804</c:v>
                </c:pt>
                <c:pt idx="14">
                  <c:v>0.91132562290732</c:v>
                </c:pt>
                <c:pt idx="15">
                  <c:v>0.90573344191523197</c:v>
                </c:pt>
                <c:pt idx="16">
                  <c:v>0.90018210788545405</c:v>
                </c:pt>
                <c:pt idx="17">
                  <c:v>0.89467650453862402</c:v>
                </c:pt>
                <c:pt idx="18">
                  <c:v>0.88922000173194005</c:v>
                </c:pt>
                <c:pt idx="19">
                  <c:v>0.88381490767325899</c:v>
                </c:pt>
                <c:pt idx="20">
                  <c:v>0.87846277058990097</c:v>
                </c:pt>
                <c:pt idx="21">
                  <c:v>0.87316458515989204</c:v>
                </c:pt>
                <c:pt idx="22">
                  <c:v>0.86792093695334105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39-46C7-AE5F-5629FC98F342}"/>
            </c:ext>
          </c:extLst>
        </c:ser>
        <c:ser>
          <c:idx val="2"/>
          <c:order val="2"/>
          <c:tx>
            <c:strRef>
              <c:f>Eff_Curves!$E$7</c:f>
              <c:strCache>
                <c:ptCount val="1"/>
                <c:pt idx="0">
                  <c:v>3.3V_Eff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Eff_Curves!$E$8:$E$30</c:f>
              <c:numCache>
                <c:formatCode>0.00%</c:formatCode>
                <c:ptCount val="23"/>
                <c:pt idx="0">
                  <c:v>0.89488303957075999</c:v>
                </c:pt>
                <c:pt idx="1">
                  <c:v>0.91993946091769596</c:v>
                </c:pt>
                <c:pt idx="2">
                  <c:v>0.93272978609414003</c:v>
                </c:pt>
                <c:pt idx="3">
                  <c:v>0.94013119474843698</c:v>
                </c:pt>
                <c:pt idx="4">
                  <c:v>0.95101202794556605</c:v>
                </c:pt>
                <c:pt idx="5">
                  <c:v>0.94964011809607396</c:v>
                </c:pt>
                <c:pt idx="6">
                  <c:v>0.945139165326774</c:v>
                </c:pt>
                <c:pt idx="7">
                  <c:v>0.939433194722468</c:v>
                </c:pt>
                <c:pt idx="8">
                  <c:v>0.93317656216335698</c:v>
                </c:pt>
                <c:pt idx="9">
                  <c:v>0.92665186593623305</c:v>
                </c:pt>
                <c:pt idx="10">
                  <c:v>0.92000031527257797</c:v>
                </c:pt>
                <c:pt idx="11">
                  <c:v>0.91329971348241301</c:v>
                </c:pt>
                <c:pt idx="12">
                  <c:v>0.90659597748722498</c:v>
                </c:pt>
                <c:pt idx="13">
                  <c:v>0.89991757295719499</c:v>
                </c:pt>
                <c:pt idx="14">
                  <c:v>0.89328277271617695</c:v>
                </c:pt>
                <c:pt idx="15">
                  <c:v>0.886703581994843</c:v>
                </c:pt>
                <c:pt idx="16">
                  <c:v>0.88018798880129401</c:v>
                </c:pt>
                <c:pt idx="17">
                  <c:v>0.87374131740962202</c:v>
                </c:pt>
                <c:pt idx="18">
                  <c:v>0.867367075673381</c:v>
                </c:pt>
                <c:pt idx="19">
                  <c:v>0.86106750376705199</c:v>
                </c:pt>
                <c:pt idx="20">
                  <c:v>0.85484394004898401</c:v>
                </c:pt>
                <c:pt idx="21">
                  <c:v>0.84869707120468296</c:v>
                </c:pt>
                <c:pt idx="22">
                  <c:v>0.84262710705860899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39-46C7-AE5F-5629FC98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79539"/>
        <c:axId val="772579"/>
      </c:scatterChart>
      <c:valAx>
        <c:axId val="38579539"/>
        <c:scaling>
          <c:orientation val="minMax"/>
          <c:max val="1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72579"/>
        <c:crosses val="autoZero"/>
        <c:crossBetween val="midCat"/>
        <c:majorUnit val="1"/>
      </c:valAx>
      <c:valAx>
        <c:axId val="772579"/>
        <c:scaling>
          <c:orientation val="minMax"/>
          <c:max val="1"/>
          <c:min val="0.75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8579539"/>
        <c:crosses val="autoZero"/>
        <c:crossBetween val="midCat"/>
        <c:majorUnit val="2.5000000000000001E-2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BUCK1 efficiency (VPRE=5V)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Eff_Curves!$C$33</c:f>
              <c:strCache>
                <c:ptCount val="1"/>
                <c:pt idx="0">
                  <c:v>0.8V_Eff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Eff_Curves!$C$34:$C$59</c:f>
              <c:numCache>
                <c:formatCode>0.00%</c:formatCode>
                <c:ptCount val="26"/>
                <c:pt idx="0">
                  <c:v>0.72962058368043403</c:v>
                </c:pt>
                <c:pt idx="1">
                  <c:v>0.80919459484030698</c:v>
                </c:pt>
                <c:pt idx="2">
                  <c:v>0.84840777121273003</c:v>
                </c:pt>
                <c:pt idx="3">
                  <c:v>0.85558550005810996</c:v>
                </c:pt>
                <c:pt idx="4">
                  <c:v>0.85416886602767605</c:v>
                </c:pt>
                <c:pt idx="5">
                  <c:v>0.84931950580948101</c:v>
                </c:pt>
                <c:pt idx="6">
                  <c:v>0.84282661844505202</c:v>
                </c:pt>
                <c:pt idx="7">
                  <c:v>0.83547173891895299</c:v>
                </c:pt>
                <c:pt idx="8">
                  <c:v>0.82764855249096803</c:v>
                </c:pt>
                <c:pt idx="9">
                  <c:v>0.81957542919008597</c:v>
                </c:pt>
                <c:pt idx="10">
                  <c:v>0.81138208089067099</c:v>
                </c:pt>
                <c:pt idx="11">
                  <c:v>0.80314950067019997</c:v>
                </c:pt>
                <c:pt idx="12">
                  <c:v>0.79493014205172896</c:v>
                </c:pt>
                <c:pt idx="13">
                  <c:v>0.78675887225098295</c:v>
                </c:pt>
                <c:pt idx="14">
                  <c:v>0.77865926993912804</c:v>
                </c:pt>
                <c:pt idx="15">
                  <c:v>0.77064742154753596</c:v>
                </c:pt>
                <c:pt idx="16">
                  <c:v>0.76273430186910596</c:v>
                </c:pt>
                <c:pt idx="17">
                  <c:v>0.75492731766268595</c:v>
                </c:pt>
                <c:pt idx="18">
                  <c:v>0.74723133760912097</c:v>
                </c:pt>
                <c:pt idx="19">
                  <c:v>0.73964939673994101</c:v>
                </c:pt>
                <c:pt idx="20">
                  <c:v>0.73218318868892895</c:v>
                </c:pt>
                <c:pt idx="21">
                  <c:v>0.72483341619266795</c:v>
                </c:pt>
                <c:pt idx="22">
                  <c:v>0.71760004479860295</c:v>
                </c:pt>
                <c:pt idx="23">
                  <c:v>0.71048248918144297</c:v>
                </c:pt>
                <c:pt idx="24">
                  <c:v>0.70347975171408395</c:v>
                </c:pt>
                <c:pt idx="25">
                  <c:v>0.69659052667849997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33-4B33-B2D8-B8C6A07805DE}"/>
            </c:ext>
          </c:extLst>
        </c:ser>
        <c:ser>
          <c:idx val="1"/>
          <c:order val="1"/>
          <c:tx>
            <c:strRef>
              <c:f>Eff_Curves!$D$33</c:f>
              <c:strCache>
                <c:ptCount val="1"/>
                <c:pt idx="0">
                  <c:v>1.25V_Eff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Eff_Curves!$D$34:$D$59</c:f>
              <c:numCache>
                <c:formatCode>0.00%</c:formatCode>
                <c:ptCount val="26"/>
                <c:pt idx="0">
                  <c:v>0.80331878466941498</c:v>
                </c:pt>
                <c:pt idx="1">
                  <c:v>0.86426842827953898</c:v>
                </c:pt>
                <c:pt idx="2">
                  <c:v>0.89282925617674802</c:v>
                </c:pt>
                <c:pt idx="3">
                  <c:v>0.89780470079553598</c:v>
                </c:pt>
                <c:pt idx="4">
                  <c:v>0.89659135443165205</c:v>
                </c:pt>
                <c:pt idx="5">
                  <c:v>0.89290602270887598</c:v>
                </c:pt>
                <c:pt idx="6">
                  <c:v>0.88802161656467404</c:v>
                </c:pt>
                <c:pt idx="7">
                  <c:v>0.88249127494107604</c:v>
                </c:pt>
                <c:pt idx="8">
                  <c:v>0.87659339532013003</c:v>
                </c:pt>
                <c:pt idx="9">
                  <c:v>0.87048283460358999</c:v>
                </c:pt>
                <c:pt idx="10">
                  <c:v>0.86425217558101797</c:v>
                </c:pt>
                <c:pt idx="11">
                  <c:v>0.85795983800906805</c:v>
                </c:pt>
                <c:pt idx="12">
                  <c:v>0.85164423488072905</c:v>
                </c:pt>
                <c:pt idx="13">
                  <c:v>0.84533143778324804</c:v>
                </c:pt>
                <c:pt idx="14">
                  <c:v>0.83903957666934503</c:v>
                </c:pt>
                <c:pt idx="15">
                  <c:v>0.83278148917546202</c:v>
                </c:pt>
                <c:pt idx="16">
                  <c:v>0.82656638117579895</c:v>
                </c:pt>
                <c:pt idx="17">
                  <c:v>0.82040090365434903</c:v>
                </c:pt>
                <c:pt idx="18">
                  <c:v>0.81428987181072798</c:v>
                </c:pt>
                <c:pt idx="19">
                  <c:v>0.80823675762816605</c:v>
                </c:pt>
                <c:pt idx="20">
                  <c:v>0.802244034868277</c:v>
                </c:pt>
                <c:pt idx="21">
                  <c:v>0.79631342549926498</c:v>
                </c:pt>
                <c:pt idx="22">
                  <c:v>0.79044607881328399</c:v>
                </c:pt>
                <c:pt idx="23">
                  <c:v>0.78464270365743405</c:v>
                </c:pt>
                <c:pt idx="24">
                  <c:v>0.77890366741865902</c:v>
                </c:pt>
                <c:pt idx="25">
                  <c:v>0.77322907105243099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33-4B33-B2D8-B8C6A07805DE}"/>
            </c:ext>
          </c:extLst>
        </c:ser>
        <c:ser>
          <c:idx val="2"/>
          <c:order val="2"/>
          <c:tx>
            <c:strRef>
              <c:f>Eff_Curves!$E$33</c:f>
              <c:strCache>
                <c:ptCount val="1"/>
                <c:pt idx="0">
                  <c:v>1.8V_Eff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Eff_Curves!$E$34:$E$59</c:f>
              <c:numCache>
                <c:formatCode>0.00%</c:formatCode>
                <c:ptCount val="26"/>
                <c:pt idx="0">
                  <c:v>0.85026422441474303</c:v>
                </c:pt>
                <c:pt idx="1">
                  <c:v>0.89762584468100104</c:v>
                </c:pt>
                <c:pt idx="2">
                  <c:v>0.91906776494589904</c:v>
                </c:pt>
                <c:pt idx="3">
                  <c:v>0.92260893078630002</c:v>
                </c:pt>
                <c:pt idx="4">
                  <c:v>0.92151485362635199</c:v>
                </c:pt>
                <c:pt idx="5">
                  <c:v>0.91856945480601204</c:v>
                </c:pt>
                <c:pt idx="6">
                  <c:v>0.91471926778858603</c:v>
                </c:pt>
                <c:pt idx="7">
                  <c:v>0.91037420379818002</c:v>
                </c:pt>
                <c:pt idx="8">
                  <c:v>0.90574034130240999</c:v>
                </c:pt>
                <c:pt idx="9">
                  <c:v>0.90093239281666104</c:v>
                </c:pt>
                <c:pt idx="10">
                  <c:v>0.89601911243725096</c:v>
                </c:pt>
                <c:pt idx="11">
                  <c:v>0.89104407595192103</c:v>
                </c:pt>
                <c:pt idx="12">
                  <c:v>0.8860361247438</c:v>
                </c:pt>
                <c:pt idx="13">
                  <c:v>0.88101501238984103</c:v>
                </c:pt>
                <c:pt idx="14">
                  <c:v>0.87599464190222198</c:v>
                </c:pt>
                <c:pt idx="15">
                  <c:v>0.87098501329807998</c:v>
                </c:pt>
                <c:pt idx="16">
                  <c:v>0.86599344352880203</c:v>
                </c:pt>
                <c:pt idx="17">
                  <c:v>0.86102535728801899</c:v>
                </c:pt>
                <c:pt idx="18">
                  <c:v>0.85608481500333899</c:v>
                </c:pt>
                <c:pt idx="19">
                  <c:v>0.85117487452419305</c:v>
                </c:pt>
                <c:pt idx="20">
                  <c:v>0.84629784453388202</c:v>
                </c:pt>
                <c:pt idx="21">
                  <c:v>0.84145546567375595</c:v>
                </c:pt>
                <c:pt idx="22">
                  <c:v>0.83664904231802195</c:v>
                </c:pt>
                <c:pt idx="23">
                  <c:v>0.83187953998070097</c:v>
                </c:pt>
                <c:pt idx="24">
                  <c:v>0.82714765835530701</c:v>
                </c:pt>
                <c:pt idx="25">
                  <c:v>0.82245388679558395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33-4B33-B2D8-B8C6A0780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2596"/>
        <c:axId val="99432695"/>
      </c:scatterChart>
      <c:valAx>
        <c:axId val="5932596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99432695"/>
        <c:crosses val="autoZero"/>
        <c:crossBetween val="midCat"/>
        <c:majorUnit val="0.25"/>
      </c:valAx>
      <c:valAx>
        <c:axId val="99432695"/>
        <c:scaling>
          <c:orientation val="minMax"/>
          <c:max val="1"/>
          <c:min val="0.6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932596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BUCK1 efficiency (VPRE=4.1V)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Eff_Curves!$F$33</c:f>
              <c:strCache>
                <c:ptCount val="1"/>
                <c:pt idx="0">
                  <c:v>0.8V_Eff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Eff_Curves!$F$34:$F$59</c:f>
              <c:numCache>
                <c:formatCode>0.00%</c:formatCode>
                <c:ptCount val="26"/>
                <c:pt idx="0">
                  <c:v>0.73651930881781602</c:v>
                </c:pt>
                <c:pt idx="1">
                  <c:v>0.81744716068197298</c:v>
                </c:pt>
                <c:pt idx="2">
                  <c:v>0.85720741815843704</c:v>
                </c:pt>
                <c:pt idx="3">
                  <c:v>0.86430802281100805</c:v>
                </c:pt>
                <c:pt idx="4">
                  <c:v>0.86264572753674995</c:v>
                </c:pt>
                <c:pt idx="5">
                  <c:v>0.85748698186931804</c:v>
                </c:pt>
                <c:pt idx="6">
                  <c:v>0.85065780485317199</c:v>
                </c:pt>
                <c:pt idx="7">
                  <c:v>0.84295580303888396</c:v>
                </c:pt>
                <c:pt idx="8">
                  <c:v>0.83478265657941797</c:v>
                </c:pt>
                <c:pt idx="9">
                  <c:v>0.82636105829340001</c:v>
                </c:pt>
                <c:pt idx="10">
                  <c:v>0.817823182708449</c:v>
                </c:pt>
                <c:pt idx="11">
                  <c:v>0.80925146561850003</c:v>
                </c:pt>
                <c:pt idx="12">
                  <c:v>0.80069920954084495</c:v>
                </c:pt>
                <c:pt idx="13">
                  <c:v>0.79220176884236704</c:v>
                </c:pt>
                <c:pt idx="14">
                  <c:v>0.78378298091421805</c:v>
                </c:pt>
                <c:pt idx="15">
                  <c:v>0.77545904281588396</c:v>
                </c:pt>
                <c:pt idx="16">
                  <c:v>0.76724094211195104</c:v>
                </c:pt>
                <c:pt idx="17">
                  <c:v>0.75913603288840503</c:v>
                </c:pt>
                <c:pt idx="18">
                  <c:v>0.75114908717587903</c:v>
                </c:pt>
                <c:pt idx="19">
                  <c:v>0.74328301391101603</c:v>
                </c:pt>
                <c:pt idx="20">
                  <c:v>0.73553936120619701</c:v>
                </c:pt>
                <c:pt idx="21">
                  <c:v>0.72791867385900599</c:v>
                </c:pt>
                <c:pt idx="22">
                  <c:v>0.72042075202150302</c:v>
                </c:pt>
                <c:pt idx="23">
                  <c:v>0.71304484105904198</c:v>
                </c:pt>
                <c:pt idx="24">
                  <c:v>0.70578977266488496</c:v>
                </c:pt>
                <c:pt idx="25">
                  <c:v>0.69865407090200504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79-46BF-BB07-56582F7708AB}"/>
            </c:ext>
          </c:extLst>
        </c:ser>
        <c:ser>
          <c:idx val="1"/>
          <c:order val="1"/>
          <c:tx>
            <c:strRef>
              <c:f>Eff_Curves!$G$33</c:f>
              <c:strCache>
                <c:ptCount val="1"/>
                <c:pt idx="0">
                  <c:v>1.25V_Eff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Eff_Curves!$G$34:$G$59</c:f>
              <c:numCache>
                <c:formatCode>0.00%</c:formatCode>
                <c:ptCount val="26"/>
                <c:pt idx="0">
                  <c:v>0.80909234443772504</c:v>
                </c:pt>
                <c:pt idx="1">
                  <c:v>0.87047878593760497</c:v>
                </c:pt>
                <c:pt idx="2">
                  <c:v>0.89904995415131395</c:v>
                </c:pt>
                <c:pt idx="3">
                  <c:v>0.90381585401151499</c:v>
                </c:pt>
                <c:pt idx="4">
                  <c:v>0.90233841741932796</c:v>
                </c:pt>
                <c:pt idx="5">
                  <c:v>0.89837017036174704</c:v>
                </c:pt>
                <c:pt idx="6">
                  <c:v>0.89319623650469704</c:v>
                </c:pt>
                <c:pt idx="7">
                  <c:v>0.88737500099027999</c:v>
                </c:pt>
                <c:pt idx="8">
                  <c:v>0.88118744088361101</c:v>
                </c:pt>
                <c:pt idx="9">
                  <c:v>0.87478979305369198</c:v>
                </c:pt>
                <c:pt idx="10">
                  <c:v>0.86827541666506602</c:v>
                </c:pt>
                <c:pt idx="11">
                  <c:v>0.86170317820338505</c:v>
                </c:pt>
                <c:pt idx="12">
                  <c:v>0.855111745830757</c:v>
                </c:pt>
                <c:pt idx="13">
                  <c:v>0.84852732953086496</c:v>
                </c:pt>
                <c:pt idx="14">
                  <c:v>0.84196812378167096</c:v>
                </c:pt>
                <c:pt idx="15">
                  <c:v>0.83544698266774597</c:v>
                </c:pt>
                <c:pt idx="16">
                  <c:v>0.82897309655915397</c:v>
                </c:pt>
                <c:pt idx="17">
                  <c:v>0.82255307939873201</c:v>
                </c:pt>
                <c:pt idx="18">
                  <c:v>0.816191694723577</c:v>
                </c:pt>
                <c:pt idx="19">
                  <c:v>0.809892352933685</c:v>
                </c:pt>
                <c:pt idx="20">
                  <c:v>0.80365745954567003</c:v>
                </c:pt>
                <c:pt idx="21">
                  <c:v>0.79748866391835904</c:v>
                </c:pt>
                <c:pt idx="22">
                  <c:v>0.79138704001218596</c:v>
                </c:pt>
                <c:pt idx="23">
                  <c:v>0.78535321980704398</c:v>
                </c:pt>
                <c:pt idx="24">
                  <c:v>0.77938749315243305</c:v>
                </c:pt>
                <c:pt idx="25">
                  <c:v>0.77348988343079395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79-46BF-BB07-56582F7708AB}"/>
            </c:ext>
          </c:extLst>
        </c:ser>
        <c:ser>
          <c:idx val="2"/>
          <c:order val="2"/>
          <c:tx>
            <c:strRef>
              <c:f>Eff_Curves!$H$33</c:f>
              <c:strCache>
                <c:ptCount val="1"/>
                <c:pt idx="0">
                  <c:v>1.8V_Eff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Eff_Curves!$H$34:$H$59</c:f>
              <c:numCache>
                <c:formatCode>0.00%</c:formatCode>
                <c:ptCount val="26"/>
                <c:pt idx="0">
                  <c:v>0.85548035934432698</c:v>
                </c:pt>
                <c:pt idx="1">
                  <c:v>0.90263407033127796</c:v>
                </c:pt>
                <c:pt idx="2">
                  <c:v>0.92373628873821101</c:v>
                </c:pt>
                <c:pt idx="3">
                  <c:v>0.92697260828746397</c:v>
                </c:pt>
                <c:pt idx="4">
                  <c:v>0.92558727623974102</c:v>
                </c:pt>
                <c:pt idx="5">
                  <c:v>0.92235865891913105</c:v>
                </c:pt>
                <c:pt idx="6">
                  <c:v>0.91823120019333704</c:v>
                </c:pt>
                <c:pt idx="7">
                  <c:v>0.91361382681925896</c:v>
                </c:pt>
                <c:pt idx="8">
                  <c:v>0.90871207425551404</c:v>
                </c:pt>
                <c:pt idx="9">
                  <c:v>0.90364031704093195</c:v>
                </c:pt>
                <c:pt idx="10">
                  <c:v>0.89846707752432597</c:v>
                </c:pt>
                <c:pt idx="11">
                  <c:v>0.89323575962340596</c:v>
                </c:pt>
                <c:pt idx="12">
                  <c:v>0.88797506898196699</c:v>
                </c:pt>
                <c:pt idx="13">
                  <c:v>0.88270464652500802</c:v>
                </c:pt>
                <c:pt idx="14">
                  <c:v>0.87743829811769902</c:v>
                </c:pt>
                <c:pt idx="15">
                  <c:v>0.87218593751351203</c:v>
                </c:pt>
                <c:pt idx="16">
                  <c:v>0.86695480335048103</c:v>
                </c:pt>
                <c:pt idx="17">
                  <c:v>0.86175024803127298</c:v>
                </c:pt>
                <c:pt idx="18">
                  <c:v>0.85657626440770096</c:v>
                </c:pt>
                <c:pt idx="19">
                  <c:v>0.85143584655710902</c:v>
                </c:pt>
                <c:pt idx="20">
                  <c:v>0.84633124254250502</c:v>
                </c:pt>
                <c:pt idx="21">
                  <c:v>0.84126413505934505</c:v>
                </c:pt>
                <c:pt idx="22">
                  <c:v>0.83623577285297401</c:v>
                </c:pt>
                <c:pt idx="23">
                  <c:v>0.83124706785245694</c:v>
                </c:pt>
                <c:pt idx="24">
                  <c:v>0.82629866799736995</c:v>
                </c:pt>
                <c:pt idx="25">
                  <c:v>0.821391012549469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C79-46BF-BB07-56582F77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3521"/>
        <c:axId val="20959549"/>
      </c:scatterChart>
      <c:valAx>
        <c:axId val="79743521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Axis Title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20959549"/>
        <c:crosses val="autoZero"/>
        <c:crossBetween val="midCat"/>
        <c:majorUnit val="0.25"/>
      </c:valAx>
      <c:valAx>
        <c:axId val="20959549"/>
        <c:scaling>
          <c:orientation val="minMax"/>
          <c:max val="1"/>
          <c:min val="0.6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4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9743521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BUCK3 efficiency (VPRE=5V)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Eff_Curves!$C$62</c:f>
              <c:strCache>
                <c:ptCount val="1"/>
                <c:pt idx="0">
                  <c:v>1.2V_Eff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Eff_Curves!$C$63:$C$88</c:f>
              <c:numCache>
                <c:formatCode>0.00%</c:formatCode>
                <c:ptCount val="26"/>
                <c:pt idx="0">
                  <c:v>0.79559325585163798</c:v>
                </c:pt>
                <c:pt idx="1">
                  <c:v>0.85844395160633202</c:v>
                </c:pt>
                <c:pt idx="2">
                  <c:v>0.88759258320526702</c:v>
                </c:pt>
                <c:pt idx="3">
                  <c:v>0.89221880390909603</c:v>
                </c:pt>
                <c:pt idx="4">
                  <c:v>0.89041145181254999</c:v>
                </c:pt>
                <c:pt idx="5">
                  <c:v>0.88604670485889603</c:v>
                </c:pt>
                <c:pt idx="6">
                  <c:v>0.88045321644226504</c:v>
                </c:pt>
                <c:pt idx="7">
                  <c:v>0.87420825922175505</c:v>
                </c:pt>
                <c:pt idx="8">
                  <c:v>0.86760207212895502</c:v>
                </c:pt>
                <c:pt idx="9">
                  <c:v>0.86079577175755495</c:v>
                </c:pt>
                <c:pt idx="10">
                  <c:v>0.85388537787074004</c:v>
                </c:pt>
                <c:pt idx="11">
                  <c:v>0.84693120320696702</c:v>
                </c:pt>
                <c:pt idx="12">
                  <c:v>0.83997265815195299</c:v>
                </c:pt>
                <c:pt idx="13">
                  <c:v>0.83303626872967895</c:v>
                </c:pt>
                <c:pt idx="14">
                  <c:v>0.82614027919170296</c:v>
                </c:pt>
                <c:pt idx="15">
                  <c:v>0.81929742342319101</c:v>
                </c:pt>
                <c:pt idx="16">
                  <c:v>0.81251666179853299</c:v>
                </c:pt>
                <c:pt idx="17">
                  <c:v>0.80580430724707797</c:v>
                </c:pt>
                <c:pt idx="18">
                  <c:v>0.79916477690555099</c:v>
                </c:pt>
                <c:pt idx="19">
                  <c:v>0.79260110668314698</c:v>
                </c:pt>
                <c:pt idx="20">
                  <c:v>0.78611531138359303</c:v>
                </c:pt>
                <c:pt idx="21">
                  <c:v>0.77970864167974696</c:v>
                </c:pt>
                <c:pt idx="22">
                  <c:v>0.77338177065881997</c:v>
                </c:pt>
                <c:pt idx="23">
                  <c:v>0.76713493131944199</c:v>
                </c:pt>
                <c:pt idx="24">
                  <c:v>0.760968019300167</c:v>
                </c:pt>
                <c:pt idx="25">
                  <c:v>0.75488067056468799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24-440A-BE37-D7C675ED886E}"/>
            </c:ext>
          </c:extLst>
        </c:ser>
        <c:ser>
          <c:idx val="1"/>
          <c:order val="1"/>
          <c:tx>
            <c:strRef>
              <c:f>Eff_Curves!$D$62</c:f>
              <c:strCache>
                <c:ptCount val="1"/>
                <c:pt idx="0">
                  <c:v>2.3V_Eff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Eff_Curves!$D$63:$D$88</c:f>
              <c:numCache>
                <c:formatCode>0.00%</c:formatCode>
                <c:ptCount val="26"/>
                <c:pt idx="0">
                  <c:v>0.87429447333799803</c:v>
                </c:pt>
                <c:pt idx="1">
                  <c:v>0.91412393782985601</c:v>
                </c:pt>
                <c:pt idx="2">
                  <c:v>0.93155397942377405</c:v>
                </c:pt>
                <c:pt idx="3">
                  <c:v>0.93404186475806406</c:v>
                </c:pt>
                <c:pt idx="4">
                  <c:v>0.932690951090968</c:v>
                </c:pt>
                <c:pt idx="5">
                  <c:v>0.92981104610672305</c:v>
                </c:pt>
                <c:pt idx="6">
                  <c:v>0.92618459627473604</c:v>
                </c:pt>
                <c:pt idx="7">
                  <c:v>0.92214977532824505</c:v>
                </c:pt>
                <c:pt idx="8">
                  <c:v>0.91787640339896903</c:v>
                </c:pt>
                <c:pt idx="9">
                  <c:v>0.91345895665669397</c:v>
                </c:pt>
                <c:pt idx="10">
                  <c:v>0.90895405423827902</c:v>
                </c:pt>
                <c:pt idx="11">
                  <c:v>0.90439759199755698</c:v>
                </c:pt>
                <c:pt idx="12">
                  <c:v>0.89981334550809899</c:v>
                </c:pt>
                <c:pt idx="13">
                  <c:v>0.89521761784665799</c:v>
                </c:pt>
                <c:pt idx="14">
                  <c:v>0.89062190259046303</c:v>
                </c:pt>
                <c:pt idx="15">
                  <c:v>0.88603448512572303</c:v>
                </c:pt>
                <c:pt idx="16">
                  <c:v>0.88146144528289905</c:v>
                </c:pt>
                <c:pt idx="17">
                  <c:v>0.87690730707638698</c:v>
                </c:pt>
                <c:pt idx="18">
                  <c:v>0.87237547240040603</c:v>
                </c:pt>
                <c:pt idx="19">
                  <c:v>0.86786851806528598</c:v>
                </c:pt>
                <c:pt idx="20">
                  <c:v>0.86338840388537497</c:v>
                </c:pt>
                <c:pt idx="21">
                  <c:v>0.85893662139807703</c:v>
                </c:pt>
                <c:pt idx="22">
                  <c:v>0.85451430206215395</c:v>
                </c:pt>
                <c:pt idx="23">
                  <c:v>0.85012229724201005</c:v>
                </c:pt>
                <c:pt idx="24">
                  <c:v>0.84576123819108395</c:v>
                </c:pt>
                <c:pt idx="25">
                  <c:v>0.84143158162457399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24-440A-BE37-D7C675ED886E}"/>
            </c:ext>
          </c:extLst>
        </c:ser>
        <c:ser>
          <c:idx val="2"/>
          <c:order val="2"/>
          <c:tx>
            <c:strRef>
              <c:f>Eff_Curves!$E$62</c:f>
              <c:strCache>
                <c:ptCount val="1"/>
                <c:pt idx="0">
                  <c:v>3.3V_Eff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Eff_Curves!$E$63:$E$88</c:f>
              <c:numCache>
                <c:formatCode>0.00%</c:formatCode>
                <c:ptCount val="26"/>
                <c:pt idx="0">
                  <c:v>0.90698322388237296</c:v>
                </c:pt>
                <c:pt idx="1">
                  <c:v>0.93583066371118695</c:v>
                </c:pt>
                <c:pt idx="2">
                  <c:v>0.947933574552837</c:v>
                </c:pt>
                <c:pt idx="3">
                  <c:v>0.94934041633441102</c:v>
                </c:pt>
                <c:pt idx="4">
                  <c:v>0.94802424278041597</c:v>
                </c:pt>
                <c:pt idx="5">
                  <c:v>0.94562407146738303</c:v>
                </c:pt>
                <c:pt idx="6">
                  <c:v>0.94269243087004295</c:v>
                </c:pt>
                <c:pt idx="7">
                  <c:v>0.93946753955371198</c:v>
                </c:pt>
                <c:pt idx="8">
                  <c:v>0.93606889075283095</c:v>
                </c:pt>
                <c:pt idx="9">
                  <c:v>0.932562955730183</c:v>
                </c:pt>
                <c:pt idx="10">
                  <c:v>0.92898960351392301</c:v>
                </c:pt>
                <c:pt idx="11">
                  <c:v>0.92537415585314498</c:v>
                </c:pt>
                <c:pt idx="12">
                  <c:v>0.92173343231362903</c:v>
                </c:pt>
                <c:pt idx="13">
                  <c:v>0.91807901284447502</c:v>
                </c:pt>
                <c:pt idx="14">
                  <c:v>0.91441910558765405</c:v>
                </c:pt>
                <c:pt idx="15">
                  <c:v>0.91075966929212904</c:v>
                </c:pt>
                <c:pt idx="16">
                  <c:v>0.90710511572688002</c:v>
                </c:pt>
                <c:pt idx="17">
                  <c:v>0.90345876467717801</c:v>
                </c:pt>
                <c:pt idx="18">
                  <c:v>0.89982314755413095</c:v>
                </c:pt>
                <c:pt idx="19">
                  <c:v>0.89620021528870997</c:v>
                </c:pt>
                <c:pt idx="20">
                  <c:v>0.89259148395211496</c:v>
                </c:pt>
                <c:pt idx="21">
                  <c:v>0.88899813882590994</c:v>
                </c:pt>
                <c:pt idx="22">
                  <c:v>0.88542111012164904</c:v>
                </c:pt>
                <c:pt idx="23">
                  <c:v>0.88186112896545699</c:v>
                </c:pt>
                <c:pt idx="24">
                  <c:v>0.87831876939548503</c:v>
                </c:pt>
                <c:pt idx="25">
                  <c:v>0.87479448028334295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724-440A-BE37-D7C675ED8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55860"/>
        <c:axId val="84530174"/>
      </c:scatterChart>
      <c:valAx>
        <c:axId val="34855860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4530174"/>
        <c:crosses val="autoZero"/>
        <c:crossBetween val="midCat"/>
        <c:majorUnit val="0.25"/>
      </c:valAx>
      <c:valAx>
        <c:axId val="84530174"/>
        <c:scaling>
          <c:orientation val="minMax"/>
          <c:max val="1"/>
          <c:min val="0.65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4855860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.xml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Relationship Id="rId9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232920</xdr:colOff>
      <xdr:row>0</xdr:row>
      <xdr:rowOff>158760</xdr:rowOff>
    </xdr:from>
    <xdr:to>
      <xdr:col>0</xdr:col>
      <xdr:colOff>2530080</xdr:colOff>
      <xdr:row>5</xdr:row>
      <xdr:rowOff>120240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2920" y="158760"/>
          <a:ext cx="2297160" cy="913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112320</xdr:colOff>
      <xdr:row>1</xdr:row>
      <xdr:rowOff>13680</xdr:rowOff>
    </xdr:from>
    <xdr:to>
      <xdr:col>28</xdr:col>
      <xdr:colOff>308160</xdr:colOff>
      <xdr:row>3</xdr:row>
      <xdr:rowOff>89640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14640" y="204120"/>
          <a:ext cx="1192320" cy="456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184680</xdr:colOff>
      <xdr:row>67</xdr:row>
      <xdr:rowOff>21600</xdr:rowOff>
    </xdr:from>
    <xdr:to>
      <xdr:col>13</xdr:col>
      <xdr:colOff>116835</xdr:colOff>
      <xdr:row>92</xdr:row>
      <xdr:rowOff>115200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152430</xdr:colOff>
      <xdr:row>67</xdr:row>
      <xdr:rowOff>20340</xdr:rowOff>
    </xdr:from>
    <xdr:to>
      <xdr:col>19</xdr:col>
      <xdr:colOff>329820</xdr:colOff>
      <xdr:row>92</xdr:row>
      <xdr:rowOff>113865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37815</xdr:colOff>
      <xdr:row>92</xdr:row>
      <xdr:rowOff>126375</xdr:rowOff>
    </xdr:from>
    <xdr:to>
      <xdr:col>7</xdr:col>
      <xdr:colOff>161025</xdr:colOff>
      <xdr:row>118</xdr:row>
      <xdr:rowOff>58050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180690</xdr:colOff>
      <xdr:row>92</xdr:row>
      <xdr:rowOff>134640</xdr:rowOff>
    </xdr:from>
    <xdr:to>
      <xdr:col>13</xdr:col>
      <xdr:colOff>113400</xdr:colOff>
      <xdr:row>118</xdr:row>
      <xdr:rowOff>66240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29160</xdr:colOff>
      <xdr:row>67</xdr:row>
      <xdr:rowOff>21600</xdr:rowOff>
    </xdr:from>
    <xdr:to>
      <xdr:col>7</xdr:col>
      <xdr:colOff>149400</xdr:colOff>
      <xdr:row>92</xdr:row>
      <xdr:rowOff>115200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0</xdr:col>
      <xdr:colOff>29160</xdr:colOff>
      <xdr:row>67</xdr:row>
      <xdr:rowOff>19080</xdr:rowOff>
    </xdr:from>
    <xdr:to>
      <xdr:col>19</xdr:col>
      <xdr:colOff>342555</xdr:colOff>
      <xdr:row>92</xdr:row>
      <xdr:rowOff>123480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9160" y="9781920"/>
          <a:ext cx="11651760" cy="4152600"/>
        </a:xfrm>
        <a:prstGeom prst="rect">
          <a:avLst/>
        </a:prstGeom>
        <a:noFill/>
        <a:ln>
          <a:solidFill>
            <a:srgbClr val="969696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29161</xdr:colOff>
      <xdr:row>92</xdr:row>
      <xdr:rowOff>123840</xdr:rowOff>
    </xdr:from>
    <xdr:to>
      <xdr:col>13</xdr:col>
      <xdr:colOff>133351</xdr:colOff>
      <xdr:row>118</xdr:row>
      <xdr:rowOff>66240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9161" y="13935090"/>
          <a:ext cx="7362240" cy="4152450"/>
        </a:xfrm>
        <a:prstGeom prst="rect">
          <a:avLst/>
        </a:prstGeom>
        <a:noFill/>
        <a:ln>
          <a:solidFill>
            <a:srgbClr val="969696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7</xdr:col>
      <xdr:colOff>169560</xdr:colOff>
      <xdr:row>67</xdr:row>
      <xdr:rowOff>19080</xdr:rowOff>
    </xdr:from>
    <xdr:to>
      <xdr:col>13</xdr:col>
      <xdr:colOff>131595</xdr:colOff>
      <xdr:row>92</xdr:row>
      <xdr:rowOff>123480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906360" y="9781920"/>
          <a:ext cx="3886920" cy="4152600"/>
        </a:xfrm>
        <a:prstGeom prst="rect">
          <a:avLst/>
        </a:prstGeom>
        <a:noFill/>
        <a:ln>
          <a:solidFill>
            <a:srgbClr val="969696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7</xdr:col>
      <xdr:colOff>169560</xdr:colOff>
      <xdr:row>92</xdr:row>
      <xdr:rowOff>123840</xdr:rowOff>
    </xdr:from>
    <xdr:to>
      <xdr:col>13</xdr:col>
      <xdr:colOff>131595</xdr:colOff>
      <xdr:row>118</xdr:row>
      <xdr:rowOff>66240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906360" y="13934880"/>
          <a:ext cx="3886920" cy="4152600"/>
        </a:xfrm>
        <a:prstGeom prst="rect">
          <a:avLst/>
        </a:prstGeom>
        <a:noFill/>
        <a:ln>
          <a:solidFill>
            <a:srgbClr val="969696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136080</xdr:colOff>
      <xdr:row>2</xdr:row>
      <xdr:rowOff>108000</xdr:rowOff>
    </xdr:from>
    <xdr:to>
      <xdr:col>9</xdr:col>
      <xdr:colOff>381000</xdr:colOff>
      <xdr:row>15</xdr:row>
      <xdr:rowOff>40822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36080" y="584250"/>
          <a:ext cx="5755813" cy="2055536"/>
        </a:xfrm>
        <a:prstGeom prst="rect">
          <a:avLst/>
        </a:prstGeom>
        <a:noFill/>
        <a:ln w="1908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244927</xdr:colOff>
      <xdr:row>3</xdr:row>
      <xdr:rowOff>0</xdr:rowOff>
    </xdr:from>
    <xdr:to>
      <xdr:col>22</xdr:col>
      <xdr:colOff>109189</xdr:colOff>
      <xdr:row>30</xdr:row>
      <xdr:rowOff>38905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9916D6-DB02-4DF9-8270-E8A17C6B75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51"/>
        <a:stretch/>
      </xdr:blipFill>
      <xdr:spPr>
        <a:xfrm>
          <a:off x="6368141" y="639536"/>
          <a:ext cx="7212119" cy="44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149678</xdr:colOff>
      <xdr:row>2</xdr:row>
      <xdr:rowOff>136073</xdr:rowOff>
    </xdr:from>
    <xdr:to>
      <xdr:col>9</xdr:col>
      <xdr:colOff>381000</xdr:colOff>
      <xdr:row>15</xdr:row>
      <xdr:rowOff>27215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24C103-6713-4FE8-822B-0927ECC31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678" y="612323"/>
          <a:ext cx="5742215" cy="2013856"/>
        </a:xfrm>
        <a:prstGeom prst="rect">
          <a:avLst/>
        </a:prstGeom>
      </xdr:spPr>
    </xdr:pic>
    <xdr:clientData/>
  </xdr:twoCellAnchor>
  <xdr:twoCellAnchor editAs="absolute">
    <xdr:from>
      <xdr:col>0</xdr:col>
      <xdr:colOff>113260</xdr:colOff>
      <xdr:row>13</xdr:row>
      <xdr:rowOff>96699</xdr:rowOff>
    </xdr:from>
    <xdr:to>
      <xdr:col>9</xdr:col>
      <xdr:colOff>367393</xdr:colOff>
      <xdr:row>15</xdr:row>
      <xdr:rowOff>40822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13260" y="2369092"/>
          <a:ext cx="5765026" cy="270694"/>
        </a:xfrm>
        <a:prstGeom prst="rect">
          <a:avLst/>
        </a:prstGeom>
        <a:solidFill>
          <a:srgbClr val="33CC33">
            <a:alpha val="2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10</xdr:col>
      <xdr:colOff>299358</xdr:colOff>
      <xdr:row>35</xdr:row>
      <xdr:rowOff>81644</xdr:rowOff>
    </xdr:from>
    <xdr:to>
      <xdr:col>22</xdr:col>
      <xdr:colOff>95250</xdr:colOff>
      <xdr:row>75</xdr:row>
      <xdr:rowOff>27214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39ACD54-25FB-4662-AB94-266DCB837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22572" y="6245680"/>
          <a:ext cx="7143749" cy="6476998"/>
        </a:xfrm>
        <a:prstGeom prst="rect">
          <a:avLst/>
        </a:prstGeom>
      </xdr:spPr>
    </xdr:pic>
    <xdr:clientData/>
  </xdr:twoCellAnchor>
  <xdr:twoCellAnchor editAs="oneCell">
    <xdr:from>
      <xdr:col>10</xdr:col>
      <xdr:colOff>258535</xdr:colOff>
      <xdr:row>79</xdr:row>
      <xdr:rowOff>75874</xdr:rowOff>
    </xdr:from>
    <xdr:to>
      <xdr:col>22</xdr:col>
      <xdr:colOff>272143</xdr:colOff>
      <xdr:row>123</xdr:row>
      <xdr:rowOff>84256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E04BA73-8750-4A67-996C-4C5555DEF9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369"/>
        <a:stretch/>
      </xdr:blipFill>
      <xdr:spPr>
        <a:xfrm>
          <a:off x="6381749" y="13574160"/>
          <a:ext cx="7361465" cy="7192953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35</xdr:row>
      <xdr:rowOff>1</xdr:rowOff>
    </xdr:from>
    <xdr:to>
      <xdr:col>10</xdr:col>
      <xdr:colOff>134345</xdr:colOff>
      <xdr:row>47</xdr:row>
      <xdr:rowOff>54429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4E1C72B-5AC1-4D9A-9FE7-575B074EA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499" y="6164037"/>
          <a:ext cx="6067060" cy="2013856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190500</xdr:colOff>
      <xdr:row>40</xdr:row>
      <xdr:rowOff>122465</xdr:rowOff>
    </xdr:from>
    <xdr:to>
      <xdr:col>10</xdr:col>
      <xdr:colOff>158884</xdr:colOff>
      <xdr:row>42</xdr:row>
      <xdr:rowOff>52981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1DD6B49D-12C3-4C57-AC7B-1274FFD0CE59}"/>
            </a:ext>
          </a:extLst>
        </xdr:cNvPr>
        <xdr:cNvSpPr/>
      </xdr:nvSpPr>
      <xdr:spPr>
        <a:xfrm>
          <a:off x="190500" y="7102929"/>
          <a:ext cx="6091598" cy="257088"/>
        </a:xfrm>
        <a:prstGeom prst="rect">
          <a:avLst/>
        </a:prstGeom>
        <a:solidFill>
          <a:srgbClr val="33CC33">
            <a:alpha val="2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190500</xdr:colOff>
      <xdr:row>35</xdr:row>
      <xdr:rowOff>0</xdr:rowOff>
    </xdr:from>
    <xdr:to>
      <xdr:col>10</xdr:col>
      <xdr:colOff>122456</xdr:colOff>
      <xdr:row>47</xdr:row>
      <xdr:rowOff>54429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54F7C7B1-24A0-461E-9788-89A7AE40C28B}"/>
            </a:ext>
          </a:extLst>
        </xdr:cNvPr>
        <xdr:cNvSpPr/>
      </xdr:nvSpPr>
      <xdr:spPr>
        <a:xfrm>
          <a:off x="190500" y="6164036"/>
          <a:ext cx="6055170" cy="2013857"/>
        </a:xfrm>
        <a:prstGeom prst="rect">
          <a:avLst/>
        </a:prstGeom>
        <a:noFill/>
        <a:ln w="1908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213320</xdr:colOff>
      <xdr:row>78</xdr:row>
      <xdr:rowOff>108857</xdr:rowOff>
    </xdr:from>
    <xdr:to>
      <xdr:col>9</xdr:col>
      <xdr:colOff>458240</xdr:colOff>
      <xdr:row>91</xdr:row>
      <xdr:rowOff>41679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5A2F3A42-97E6-4095-9E89-3EFBA4AD402A}"/>
            </a:ext>
          </a:extLst>
        </xdr:cNvPr>
        <xdr:cNvSpPr/>
      </xdr:nvSpPr>
      <xdr:spPr>
        <a:xfrm>
          <a:off x="213320" y="13443857"/>
          <a:ext cx="5755813" cy="2055536"/>
        </a:xfrm>
        <a:prstGeom prst="rect">
          <a:avLst/>
        </a:prstGeom>
        <a:noFill/>
        <a:ln w="1908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0</xdr:col>
      <xdr:colOff>226918</xdr:colOff>
      <xdr:row>78</xdr:row>
      <xdr:rowOff>136930</xdr:rowOff>
    </xdr:from>
    <xdr:to>
      <xdr:col>9</xdr:col>
      <xdr:colOff>449036</xdr:colOff>
      <xdr:row>91</xdr:row>
      <xdr:rowOff>28072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2D7144C-E8F7-453E-A106-0C797E512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6918" y="13471930"/>
          <a:ext cx="5733011" cy="2013856"/>
        </a:xfrm>
        <a:prstGeom prst="rect">
          <a:avLst/>
        </a:prstGeom>
      </xdr:spPr>
    </xdr:pic>
    <xdr:clientData/>
  </xdr:twoCellAnchor>
  <xdr:twoCellAnchor editAs="absolute">
    <xdr:from>
      <xdr:col>0</xdr:col>
      <xdr:colOff>190500</xdr:colOff>
      <xdr:row>89</xdr:row>
      <xdr:rowOff>97556</xdr:rowOff>
    </xdr:from>
    <xdr:to>
      <xdr:col>9</xdr:col>
      <xdr:colOff>444633</xdr:colOff>
      <xdr:row>91</xdr:row>
      <xdr:rowOff>41679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289AFCF4-C34B-4EE6-95A6-565A6985E2D1}"/>
            </a:ext>
          </a:extLst>
        </xdr:cNvPr>
        <xdr:cNvSpPr/>
      </xdr:nvSpPr>
      <xdr:spPr>
        <a:xfrm>
          <a:off x="190500" y="15228699"/>
          <a:ext cx="5765026" cy="270694"/>
        </a:xfrm>
        <a:prstGeom prst="rect">
          <a:avLst/>
        </a:prstGeom>
        <a:solidFill>
          <a:srgbClr val="33CC33">
            <a:alpha val="2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162360</xdr:colOff>
      <xdr:row>5</xdr:row>
      <xdr:rowOff>20880</xdr:rowOff>
    </xdr:from>
    <xdr:to>
      <xdr:col>22</xdr:col>
      <xdr:colOff>391680</xdr:colOff>
      <xdr:row>29</xdr:row>
      <xdr:rowOff>183240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154080</xdr:colOff>
      <xdr:row>31</xdr:row>
      <xdr:rowOff>19080</xdr:rowOff>
    </xdr:from>
    <xdr:to>
      <xdr:col>22</xdr:col>
      <xdr:colOff>382320</xdr:colOff>
      <xdr:row>58</xdr:row>
      <xdr:rowOff>133200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22</xdr:col>
      <xdr:colOff>464040</xdr:colOff>
      <xdr:row>31</xdr:row>
      <xdr:rowOff>17280</xdr:rowOff>
    </xdr:from>
    <xdr:to>
      <xdr:col>34</xdr:col>
      <xdr:colOff>96840</xdr:colOff>
      <xdr:row>58</xdr:row>
      <xdr:rowOff>121680</xdr:rowOff>
    </xdr:to>
    <xdr:graphicFrame macro="">
      <xdr:nvGraphicFramePr>
        <xdr:cNvPr id="26" name="Chart 3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173520</xdr:colOff>
      <xdr:row>60</xdr:row>
      <xdr:rowOff>18000</xdr:rowOff>
    </xdr:from>
    <xdr:to>
      <xdr:col>22</xdr:col>
      <xdr:colOff>380520</xdr:colOff>
      <xdr:row>87</xdr:row>
      <xdr:rowOff>161640</xdr:rowOff>
    </xdr:to>
    <xdr:graphicFrame macro="">
      <xdr:nvGraphicFramePr>
        <xdr:cNvPr id="27" name="Chart 4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476280</xdr:colOff>
      <xdr:row>60</xdr:row>
      <xdr:rowOff>18000</xdr:rowOff>
    </xdr:from>
    <xdr:to>
      <xdr:col>34</xdr:col>
      <xdr:colOff>66960</xdr:colOff>
      <xdr:row>87</xdr:row>
      <xdr:rowOff>145440</xdr:rowOff>
    </xdr:to>
    <xdr:graphicFrame macro="">
      <xdr:nvGraphicFramePr>
        <xdr:cNvPr id="28" name="Chart 5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179280</xdr:colOff>
      <xdr:row>89</xdr:row>
      <xdr:rowOff>40320</xdr:rowOff>
    </xdr:from>
    <xdr:to>
      <xdr:col>23</xdr:col>
      <xdr:colOff>481320</xdr:colOff>
      <xdr:row>115</xdr:row>
      <xdr:rowOff>111600</xdr:rowOff>
    </xdr:to>
    <xdr:graphicFrame macro="">
      <xdr:nvGraphicFramePr>
        <xdr:cNvPr id="29" name="Chart 6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22</xdr:col>
      <xdr:colOff>476280</xdr:colOff>
      <xdr:row>5</xdr:row>
      <xdr:rowOff>18000</xdr:rowOff>
    </xdr:from>
    <xdr:to>
      <xdr:col>34</xdr:col>
      <xdr:colOff>100440</xdr:colOff>
      <xdr:row>29</xdr:row>
      <xdr:rowOff>183240</xdr:rowOff>
    </xdr:to>
    <xdr:graphicFrame macro="">
      <xdr:nvGraphicFramePr>
        <xdr:cNvPr id="30" name="Chart 7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34</xdr:col>
      <xdr:colOff>204480</xdr:colOff>
      <xdr:row>31</xdr:row>
      <xdr:rowOff>23760</xdr:rowOff>
    </xdr:from>
    <xdr:to>
      <xdr:col>45</xdr:col>
      <xdr:colOff>456120</xdr:colOff>
      <xdr:row>58</xdr:row>
      <xdr:rowOff>128160</xdr:rowOff>
    </xdr:to>
    <xdr:graphicFrame macro="">
      <xdr:nvGraphicFramePr>
        <xdr:cNvPr id="31" name="Chart 9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34</xdr:col>
      <xdr:colOff>195480</xdr:colOff>
      <xdr:row>60</xdr:row>
      <xdr:rowOff>27360</xdr:rowOff>
    </xdr:from>
    <xdr:to>
      <xdr:col>45</xdr:col>
      <xdr:colOff>398520</xdr:colOff>
      <xdr:row>88</xdr:row>
      <xdr:rowOff>4320</xdr:rowOff>
    </xdr:to>
    <xdr:graphicFrame macro="">
      <xdr:nvGraphicFramePr>
        <xdr:cNvPr id="32" name="Chart 10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K21"/>
  <sheetViews>
    <sheetView topLeftCell="A7" zoomScaleNormal="100" zoomScalePageLayoutView="60" workbookViewId="0">
      <selection activeCell="A12" sqref="A12"/>
    </sheetView>
  </sheetViews>
  <sheetFormatPr defaultRowHeight="13.8" x14ac:dyDescent="0.25"/>
  <cols>
    <col min="1" max="1" width="132.33203125" style="1" customWidth="1"/>
    <col min="2" max="2" width="13.6640625" style="1" customWidth="1"/>
    <col min="3" max="9" width="9.109375" style="1" customWidth="1"/>
    <col min="10" max="10" width="37.44140625" style="1" customWidth="1"/>
    <col min="11" max="1025" width="9.109375" style="1" customWidth="1"/>
  </cols>
  <sheetData>
    <row r="1" spans="1:1" x14ac:dyDescent="0.25">
      <c r="A1" s="2"/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3" t="s">
        <v>0</v>
      </c>
    </row>
    <row r="9" spans="1:1" x14ac:dyDescent="0.25">
      <c r="A9" s="2" t="s">
        <v>273</v>
      </c>
    </row>
    <row r="10" spans="1:1" x14ac:dyDescent="0.25">
      <c r="A10" s="2"/>
    </row>
    <row r="11" spans="1:1" x14ac:dyDescent="0.25">
      <c r="A11" s="3" t="s">
        <v>1</v>
      </c>
    </row>
    <row r="12" spans="1:1" x14ac:dyDescent="0.25">
      <c r="A12" s="220" t="s">
        <v>9</v>
      </c>
    </row>
    <row r="13" spans="1:1" x14ac:dyDescent="0.25">
      <c r="A13" s="2"/>
    </row>
    <row r="14" spans="1:1" x14ac:dyDescent="0.25">
      <c r="A14" s="3" t="s">
        <v>2</v>
      </c>
    </row>
    <row r="15" spans="1:1" x14ac:dyDescent="0.25">
      <c r="A15" s="2" t="s">
        <v>274</v>
      </c>
    </row>
    <row r="16" spans="1:1" x14ac:dyDescent="0.25">
      <c r="A16" s="2"/>
    </row>
    <row r="17" spans="1:1" x14ac:dyDescent="0.25">
      <c r="A17" s="3" t="s">
        <v>3</v>
      </c>
    </row>
    <row r="18" spans="1:1" x14ac:dyDescent="0.25">
      <c r="A18" s="2" t="s">
        <v>275</v>
      </c>
    </row>
    <row r="19" spans="1:1" x14ac:dyDescent="0.25">
      <c r="A19" s="2"/>
    </row>
    <row r="20" spans="1:1" x14ac:dyDescent="0.25">
      <c r="A20" s="3" t="s">
        <v>4</v>
      </c>
    </row>
    <row r="21" spans="1:1" x14ac:dyDescent="0.25">
      <c r="A21" s="2" t="s">
        <v>5</v>
      </c>
    </row>
  </sheetData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K7"/>
  <sheetViews>
    <sheetView tabSelected="1" zoomScaleNormal="100" zoomScalePageLayoutView="60" workbookViewId="0">
      <selection activeCell="D13" sqref="D13"/>
    </sheetView>
  </sheetViews>
  <sheetFormatPr defaultRowHeight="13.2" x14ac:dyDescent="0.25"/>
  <cols>
    <col min="1" max="1" width="4.6640625" style="4" customWidth="1"/>
    <col min="2" max="3" width="20.6640625" style="5" customWidth="1"/>
    <col min="4" max="4" width="99.109375" style="5" customWidth="1"/>
    <col min="5" max="1025" width="9.109375" style="4" customWidth="1"/>
  </cols>
  <sheetData>
    <row r="1" spans="2:1025" ht="15" customHeight="1" x14ac:dyDescent="0.25"/>
    <row r="2" spans="2:1025" s="6" customFormat="1" ht="20.100000000000001" customHeight="1" x14ac:dyDescent="0.25">
      <c r="B2" s="7" t="s">
        <v>6</v>
      </c>
      <c r="C2" s="7" t="s">
        <v>7</v>
      </c>
      <c r="D2" s="7" t="s">
        <v>8</v>
      </c>
    </row>
    <row r="3" spans="2:1025" ht="30" customHeight="1" x14ac:dyDescent="0.25">
      <c r="B3" s="8" t="s">
        <v>9</v>
      </c>
      <c r="C3" s="9">
        <v>44018</v>
      </c>
      <c r="D3" s="10" t="s">
        <v>10</v>
      </c>
    </row>
    <row r="4" spans="2:1025" ht="39.9" customHeight="1" x14ac:dyDescent="0.25">
      <c r="B4" s="212">
        <v>1.1000000000000001</v>
      </c>
      <c r="C4" s="9">
        <v>44351</v>
      </c>
      <c r="D4" s="10" t="s">
        <v>297</v>
      </c>
      <c r="AMH4"/>
      <c r="AMI4"/>
      <c r="AMJ4"/>
      <c r="AMK4"/>
    </row>
    <row r="5" spans="2:1025" ht="39.9" customHeight="1" x14ac:dyDescent="0.25">
      <c r="B5" s="4"/>
      <c r="C5" s="4"/>
      <c r="D5" s="4"/>
      <c r="AMH5"/>
      <c r="AMI5"/>
      <c r="AMJ5"/>
      <c r="AMK5"/>
    </row>
    <row r="6" spans="2:1025" ht="30" customHeight="1" x14ac:dyDescent="0.25">
      <c r="B6" s="4"/>
      <c r="C6" s="4"/>
      <c r="D6" s="4"/>
      <c r="AMH6"/>
      <c r="AMI6"/>
      <c r="AMJ6"/>
      <c r="AMK6"/>
    </row>
    <row r="7" spans="2:1025" x14ac:dyDescent="0.25">
      <c r="B7" s="4"/>
      <c r="C7" s="4"/>
      <c r="D7" s="4"/>
      <c r="AMH7"/>
      <c r="AMI7"/>
      <c r="AMJ7"/>
      <c r="AMK7"/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K68"/>
  <sheetViews>
    <sheetView zoomScaleNormal="100" zoomScalePageLayoutView="60" workbookViewId="0">
      <selection activeCell="AF22" sqref="AF22"/>
    </sheetView>
  </sheetViews>
  <sheetFormatPr defaultRowHeight="13.2" x14ac:dyDescent="0.25"/>
  <cols>
    <col min="1" max="29" width="4.6640625" style="4" customWidth="1"/>
    <col min="30" max="30" width="2.6640625" style="4" customWidth="1"/>
    <col min="31" max="31" width="4.6640625" style="4" customWidth="1"/>
    <col min="32" max="32" width="17.88671875" style="4" customWidth="1"/>
    <col min="33" max="33" width="0.88671875" style="4" customWidth="1"/>
    <col min="34" max="34" width="67.88671875" style="4" customWidth="1"/>
    <col min="35" max="35" width="22.6640625" style="4" customWidth="1"/>
    <col min="36" max="36" width="4.6640625" style="4" customWidth="1"/>
    <col min="37" max="37" width="2.6640625" style="4" customWidth="1"/>
    <col min="38" max="1025" width="9.109375" style="4" customWidth="1"/>
  </cols>
  <sheetData>
    <row r="1" spans="1:37" ht="15" customHeight="1" x14ac:dyDescent="0.25">
      <c r="A1" s="12"/>
      <c r="B1" s="13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4"/>
      <c r="AG1" s="14"/>
      <c r="AH1" s="14"/>
      <c r="AI1" s="14"/>
      <c r="AJ1" s="12"/>
      <c r="AK1" s="12"/>
    </row>
    <row r="2" spans="1:37" ht="15" customHeight="1" x14ac:dyDescent="0.25">
      <c r="A2" s="15"/>
      <c r="B2" s="239" t="s">
        <v>276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15"/>
      <c r="AA2" s="15"/>
      <c r="AB2" s="15"/>
      <c r="AC2" s="15"/>
      <c r="AD2" s="12"/>
      <c r="AE2" s="15"/>
      <c r="AF2" s="239" t="s">
        <v>284</v>
      </c>
      <c r="AG2" s="239"/>
      <c r="AH2" s="239"/>
      <c r="AI2" s="239"/>
      <c r="AJ2" s="16"/>
      <c r="AK2" s="12"/>
    </row>
    <row r="3" spans="1:37" ht="1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4"/>
      <c r="AE3" s="15"/>
      <c r="AF3" s="15"/>
      <c r="AG3" s="15"/>
      <c r="AH3" s="15"/>
      <c r="AI3" s="15"/>
      <c r="AJ3" s="15"/>
      <c r="AK3" s="14"/>
    </row>
    <row r="4" spans="1:37" ht="15" customHeight="1" x14ac:dyDescent="0.25">
      <c r="A4" s="17"/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8"/>
      <c r="AE4" s="17"/>
      <c r="AF4" s="19" t="s">
        <v>12</v>
      </c>
      <c r="AG4" s="20"/>
      <c r="AH4" s="20"/>
      <c r="AI4" s="21"/>
      <c r="AJ4" s="17"/>
      <c r="AK4" s="18"/>
    </row>
    <row r="5" spans="1:37" ht="15" customHeight="1" x14ac:dyDescent="0.25">
      <c r="A5" s="22"/>
      <c r="B5" s="23"/>
      <c r="C5" s="23" t="s">
        <v>13</v>
      </c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4"/>
      <c r="AE5" s="22"/>
      <c r="AF5" s="25" t="s">
        <v>14</v>
      </c>
      <c r="AG5" s="237"/>
      <c r="AH5" s="26" t="s">
        <v>15</v>
      </c>
      <c r="AI5" s="27"/>
      <c r="AJ5" s="22"/>
      <c r="AK5" s="24"/>
    </row>
    <row r="6" spans="1:37" ht="15" customHeight="1" x14ac:dyDescent="0.25">
      <c r="A6" s="22"/>
      <c r="B6" s="23"/>
      <c r="C6" s="23" t="s">
        <v>16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4"/>
      <c r="AE6" s="22"/>
      <c r="AF6" s="25" t="s">
        <v>17</v>
      </c>
      <c r="AG6" s="237"/>
      <c r="AH6" s="26" t="s">
        <v>18</v>
      </c>
      <c r="AI6" s="240" t="s">
        <v>19</v>
      </c>
      <c r="AJ6" s="22"/>
      <c r="AK6" s="24"/>
    </row>
    <row r="7" spans="1:37" ht="15" customHeight="1" x14ac:dyDescent="0.25">
      <c r="A7" s="22"/>
      <c r="B7" s="23"/>
      <c r="C7" s="23" t="s">
        <v>277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4"/>
      <c r="AE7" s="22"/>
      <c r="AF7" s="25" t="s">
        <v>20</v>
      </c>
      <c r="AG7" s="237"/>
      <c r="AH7" s="26" t="s">
        <v>21</v>
      </c>
      <c r="AI7" s="240"/>
      <c r="AJ7" s="22"/>
      <c r="AK7" s="24"/>
    </row>
    <row r="8" spans="1:37" ht="15" customHeight="1" x14ac:dyDescent="0.25">
      <c r="A8" s="22"/>
      <c r="B8" s="23"/>
      <c r="C8" s="23" t="s">
        <v>22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4"/>
      <c r="AE8" s="22"/>
      <c r="AF8" s="25" t="s">
        <v>23</v>
      </c>
      <c r="AG8" s="237"/>
      <c r="AH8" s="26" t="s">
        <v>24</v>
      </c>
      <c r="AI8" s="240" t="s">
        <v>25</v>
      </c>
      <c r="AJ8" s="22"/>
      <c r="AK8" s="24"/>
    </row>
    <row r="9" spans="1:37" ht="15" customHeight="1" x14ac:dyDescent="0.25">
      <c r="A9" s="15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14"/>
      <c r="AE9" s="15"/>
      <c r="AF9" s="25" t="s">
        <v>26</v>
      </c>
      <c r="AG9" s="237"/>
      <c r="AH9" s="26" t="s">
        <v>27</v>
      </c>
      <c r="AI9" s="240"/>
      <c r="AJ9" s="15"/>
      <c r="AK9" s="14"/>
    </row>
    <row r="10" spans="1:37" ht="15" customHeight="1" x14ac:dyDescent="0.25">
      <c r="A10" s="15"/>
      <c r="B10" s="29" t="s">
        <v>28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14"/>
      <c r="AE10" s="15"/>
      <c r="AF10" s="25" t="s">
        <v>29</v>
      </c>
      <c r="AG10" s="237"/>
      <c r="AH10" s="26" t="s">
        <v>30</v>
      </c>
      <c r="AI10" s="27"/>
      <c r="AJ10" s="15"/>
      <c r="AK10" s="14"/>
    </row>
    <row r="11" spans="1:37" ht="15" customHeight="1" x14ac:dyDescent="0.25">
      <c r="A11" s="15"/>
      <c r="B11" s="23"/>
      <c r="C11" s="23" t="s">
        <v>31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14"/>
      <c r="AE11" s="15"/>
      <c r="AF11" s="25" t="s">
        <v>32</v>
      </c>
      <c r="AG11" s="237"/>
      <c r="AH11" s="26" t="s">
        <v>33</v>
      </c>
      <c r="AI11" s="27"/>
      <c r="AJ11" s="15"/>
      <c r="AK11" s="14"/>
    </row>
    <row r="12" spans="1:37" ht="15" customHeight="1" x14ac:dyDescent="0.25">
      <c r="A12" s="22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4"/>
      <c r="AE12" s="22"/>
      <c r="AF12" s="25" t="s">
        <v>34</v>
      </c>
      <c r="AG12" s="237"/>
      <c r="AH12" s="26" t="s">
        <v>35</v>
      </c>
      <c r="AI12" s="27"/>
      <c r="AJ12" s="22"/>
      <c r="AK12" s="24"/>
    </row>
    <row r="13" spans="1:37" ht="15" customHeight="1" x14ac:dyDescent="0.25">
      <c r="A13" s="22"/>
      <c r="B13" s="29" t="s">
        <v>36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4"/>
      <c r="AE13" s="22"/>
      <c r="AF13" s="25" t="s">
        <v>37</v>
      </c>
      <c r="AG13" s="237"/>
      <c r="AH13" s="26" t="s">
        <v>38</v>
      </c>
      <c r="AI13" s="27"/>
      <c r="AJ13" s="22"/>
      <c r="AK13" s="24"/>
    </row>
    <row r="14" spans="1:37" ht="15" customHeight="1" x14ac:dyDescent="0.25">
      <c r="A14" s="15"/>
      <c r="B14" s="29"/>
      <c r="C14" s="23" t="s">
        <v>39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14"/>
      <c r="AE14" s="15"/>
      <c r="AF14" s="25" t="s">
        <v>40</v>
      </c>
      <c r="AG14" s="237"/>
      <c r="AH14" s="26" t="s">
        <v>41</v>
      </c>
      <c r="AI14" s="27"/>
      <c r="AJ14" s="15"/>
      <c r="AK14" s="14"/>
    </row>
    <row r="15" spans="1:37" ht="15" customHeight="1" x14ac:dyDescent="0.25">
      <c r="A15" s="22"/>
      <c r="B15" s="29"/>
      <c r="C15" s="23" t="s">
        <v>278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4"/>
      <c r="AE15" s="22"/>
      <c r="AF15" s="25" t="s">
        <v>42</v>
      </c>
      <c r="AG15" s="237"/>
      <c r="AH15" s="26" t="s">
        <v>43</v>
      </c>
      <c r="AI15" s="27"/>
      <c r="AJ15" s="22"/>
      <c r="AK15" s="24"/>
    </row>
    <row r="16" spans="1:37" ht="27.6" x14ac:dyDescent="0.25">
      <c r="A16" s="22"/>
      <c r="B16" s="29"/>
      <c r="C16" s="23" t="s">
        <v>44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4"/>
      <c r="AE16" s="22"/>
      <c r="AF16" s="25" t="s">
        <v>45</v>
      </c>
      <c r="AG16" s="237"/>
      <c r="AH16" s="26" t="s">
        <v>46</v>
      </c>
      <c r="AI16" s="30" t="s">
        <v>47</v>
      </c>
      <c r="AJ16" s="22"/>
      <c r="AK16" s="24"/>
    </row>
    <row r="17" spans="1:37" ht="15" customHeight="1" x14ac:dyDescent="0.25">
      <c r="A17" s="22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4"/>
      <c r="AE17" s="22"/>
      <c r="AF17" s="31" t="s">
        <v>48</v>
      </c>
      <c r="AG17" s="237"/>
      <c r="AH17" s="26" t="s">
        <v>49</v>
      </c>
      <c r="AI17" s="27"/>
      <c r="AJ17" s="22"/>
      <c r="AK17" s="24"/>
    </row>
    <row r="18" spans="1:37" ht="15" customHeight="1" x14ac:dyDescent="0.25">
      <c r="A18" s="22"/>
      <c r="B18" s="29" t="s">
        <v>50</v>
      </c>
      <c r="C18" s="23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4"/>
      <c r="AE18" s="22"/>
      <c r="AF18" s="31" t="s">
        <v>51</v>
      </c>
      <c r="AG18" s="237"/>
      <c r="AH18" s="26" t="s">
        <v>52</v>
      </c>
      <c r="AI18" s="27"/>
      <c r="AJ18" s="22"/>
      <c r="AK18" s="24"/>
    </row>
    <row r="19" spans="1:37" ht="15" customHeight="1" x14ac:dyDescent="0.25">
      <c r="A19" s="15"/>
      <c r="B19" s="29"/>
      <c r="C19" s="23" t="s">
        <v>279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14"/>
      <c r="AE19" s="15"/>
      <c r="AF19" s="25" t="s">
        <v>53</v>
      </c>
      <c r="AG19" s="237"/>
      <c r="AH19" s="26" t="s">
        <v>54</v>
      </c>
      <c r="AI19" s="27"/>
      <c r="AJ19" s="15"/>
      <c r="AK19" s="14"/>
    </row>
    <row r="20" spans="1:37" ht="15" customHeight="1" x14ac:dyDescent="0.25">
      <c r="A20" s="15"/>
      <c r="B20" s="29"/>
      <c r="C20" s="23" t="s">
        <v>55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14"/>
      <c r="AE20" s="15"/>
      <c r="AF20" s="25" t="s">
        <v>56</v>
      </c>
      <c r="AG20" s="237"/>
      <c r="AH20" s="26" t="s">
        <v>57</v>
      </c>
      <c r="AI20" s="27"/>
      <c r="AJ20" s="15"/>
      <c r="AK20" s="14"/>
    </row>
    <row r="21" spans="1:37" ht="15" customHeight="1" x14ac:dyDescent="0.25">
      <c r="A21" s="22"/>
      <c r="B21" s="23"/>
      <c r="C21" s="23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4"/>
      <c r="AE21" s="22"/>
      <c r="AF21" s="28"/>
      <c r="AG21" s="28"/>
      <c r="AH21" s="28"/>
      <c r="AI21" s="32"/>
      <c r="AJ21" s="22"/>
      <c r="AK21" s="24"/>
    </row>
    <row r="22" spans="1:37" ht="15" customHeight="1" x14ac:dyDescent="0.25">
      <c r="A22" s="22"/>
      <c r="B22" s="29" t="s">
        <v>58</v>
      </c>
      <c r="C22" s="23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4"/>
      <c r="AE22" s="22"/>
      <c r="AF22" s="19" t="s">
        <v>285</v>
      </c>
      <c r="AG22" s="20"/>
      <c r="AH22" s="20"/>
      <c r="AI22" s="21"/>
      <c r="AJ22" s="22"/>
      <c r="AK22" s="24"/>
    </row>
    <row r="23" spans="1:37" ht="15" customHeight="1" x14ac:dyDescent="0.25">
      <c r="A23" s="15"/>
      <c r="B23" s="23"/>
      <c r="C23" s="23" t="s">
        <v>59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14"/>
      <c r="AE23" s="15"/>
      <c r="AF23" s="25" t="s">
        <v>14</v>
      </c>
      <c r="AG23" s="237"/>
      <c r="AH23" s="26" t="s">
        <v>15</v>
      </c>
      <c r="AI23" s="27"/>
      <c r="AJ23" s="15"/>
      <c r="AK23" s="14"/>
    </row>
    <row r="24" spans="1:37" ht="15" customHeight="1" x14ac:dyDescent="0.25">
      <c r="A24" s="15"/>
      <c r="B24" s="23"/>
      <c r="C24" s="23" t="s">
        <v>60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14"/>
      <c r="AE24" s="15"/>
      <c r="AF24" s="25" t="s">
        <v>17</v>
      </c>
      <c r="AG24" s="237"/>
      <c r="AH24" s="26" t="s">
        <v>18</v>
      </c>
      <c r="AI24" s="238" t="s">
        <v>61</v>
      </c>
      <c r="AJ24" s="15"/>
      <c r="AK24" s="14"/>
    </row>
    <row r="25" spans="1:37" ht="15" customHeight="1" x14ac:dyDescent="0.25">
      <c r="A25" s="15"/>
      <c r="B25" s="23"/>
      <c r="C25" s="23" t="s">
        <v>62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14"/>
      <c r="AE25" s="15"/>
      <c r="AF25" s="25" t="s">
        <v>20</v>
      </c>
      <c r="AG25" s="237"/>
      <c r="AH25" s="26" t="s">
        <v>63</v>
      </c>
      <c r="AI25" s="238"/>
      <c r="AJ25" s="15"/>
      <c r="AK25" s="14"/>
    </row>
    <row r="26" spans="1:37" ht="15" customHeight="1" x14ac:dyDescent="0.25">
      <c r="A26" s="15"/>
      <c r="B26" s="23"/>
      <c r="C26" s="23" t="s">
        <v>64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14"/>
      <c r="AE26" s="15"/>
      <c r="AF26" s="25" t="s">
        <v>23</v>
      </c>
      <c r="AG26" s="237"/>
      <c r="AH26" s="26" t="s">
        <v>24</v>
      </c>
      <c r="AI26" s="238" t="s">
        <v>65</v>
      </c>
      <c r="AJ26" s="15"/>
      <c r="AK26" s="14"/>
    </row>
    <row r="27" spans="1:37" ht="15" customHeight="1" x14ac:dyDescent="0.25">
      <c r="A27" s="15"/>
      <c r="B27" s="23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14"/>
      <c r="AE27" s="15"/>
      <c r="AF27" s="25" t="s">
        <v>26</v>
      </c>
      <c r="AG27" s="237"/>
      <c r="AH27" s="26" t="s">
        <v>66</v>
      </c>
      <c r="AI27" s="238"/>
      <c r="AJ27" s="15"/>
      <c r="AK27" s="14"/>
    </row>
    <row r="28" spans="1:37" ht="15" customHeight="1" x14ac:dyDescent="0.25">
      <c r="A28" s="15"/>
      <c r="B28" s="29" t="s">
        <v>289</v>
      </c>
      <c r="C28" s="23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14"/>
      <c r="AE28" s="15"/>
      <c r="AF28" s="25" t="s">
        <v>34</v>
      </c>
      <c r="AG28" s="237"/>
      <c r="AH28" s="26" t="s">
        <v>35</v>
      </c>
      <c r="AI28" s="27"/>
      <c r="AJ28" s="15"/>
      <c r="AK28" s="14"/>
    </row>
    <row r="29" spans="1:37" ht="15" customHeight="1" x14ac:dyDescent="0.25">
      <c r="A29" s="15"/>
      <c r="B29" s="29"/>
      <c r="C29" s="23" t="s">
        <v>280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14"/>
      <c r="AE29" s="15"/>
      <c r="AF29" s="25" t="s">
        <v>37</v>
      </c>
      <c r="AG29" s="237"/>
      <c r="AH29" s="26" t="s">
        <v>38</v>
      </c>
      <c r="AI29" s="27"/>
      <c r="AJ29" s="15"/>
      <c r="AK29" s="14"/>
    </row>
    <row r="30" spans="1:37" ht="15" customHeight="1" x14ac:dyDescent="0.25">
      <c r="A30" s="15"/>
      <c r="B30" s="29"/>
      <c r="C30" s="23" t="s">
        <v>67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14"/>
      <c r="AE30" s="15"/>
      <c r="AF30" s="25" t="s">
        <v>40</v>
      </c>
      <c r="AG30" s="237"/>
      <c r="AH30" s="26" t="s">
        <v>41</v>
      </c>
      <c r="AI30" s="27"/>
      <c r="AJ30" s="15"/>
      <c r="AK30" s="14"/>
    </row>
    <row r="31" spans="1:37" ht="15" customHeight="1" x14ac:dyDescent="0.25">
      <c r="A31" s="22"/>
      <c r="B31" s="29"/>
      <c r="C31" s="23" t="s">
        <v>281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4"/>
      <c r="AE31" s="22"/>
      <c r="AF31" s="25" t="s">
        <v>42</v>
      </c>
      <c r="AG31" s="237"/>
      <c r="AH31" s="26" t="s">
        <v>68</v>
      </c>
      <c r="AI31" s="27"/>
      <c r="AJ31" s="22"/>
      <c r="AK31" s="24"/>
    </row>
    <row r="32" spans="1:37" ht="15" customHeight="1" x14ac:dyDescent="0.25">
      <c r="A32" s="22"/>
      <c r="B32" s="29"/>
      <c r="C32" s="23" t="s">
        <v>282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4"/>
      <c r="AE32" s="22"/>
      <c r="AF32" s="25" t="s">
        <v>45</v>
      </c>
      <c r="AG32" s="237"/>
      <c r="AH32" s="26" t="s">
        <v>69</v>
      </c>
      <c r="AI32" s="30"/>
      <c r="AJ32" s="22"/>
      <c r="AK32" s="24"/>
    </row>
    <row r="33" spans="1:37" ht="15" customHeight="1" x14ac:dyDescent="0.25">
      <c r="A33" s="22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  <c r="AE33" s="22"/>
      <c r="AF33" s="31" t="s">
        <v>48</v>
      </c>
      <c r="AG33" s="237"/>
      <c r="AH33" s="26" t="s">
        <v>49</v>
      </c>
      <c r="AI33" s="27"/>
      <c r="AJ33" s="22"/>
      <c r="AK33" s="24"/>
    </row>
    <row r="34" spans="1:37" ht="15" customHeight="1" x14ac:dyDescent="0.25">
      <c r="A34" s="22"/>
      <c r="B34" s="29" t="s">
        <v>283</v>
      </c>
      <c r="C34" s="23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  <c r="AE34" s="22"/>
      <c r="AF34" s="31" t="s">
        <v>51</v>
      </c>
      <c r="AG34" s="237"/>
      <c r="AH34" s="26" t="s">
        <v>52</v>
      </c>
      <c r="AI34" s="27"/>
      <c r="AJ34" s="22"/>
      <c r="AK34" s="24"/>
    </row>
    <row r="35" spans="1:37" ht="15" customHeight="1" x14ac:dyDescent="0.25">
      <c r="A35" s="15"/>
      <c r="B35" s="29"/>
      <c r="C35" s="23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14"/>
      <c r="AE35" s="15"/>
      <c r="AF35" s="25" t="s">
        <v>53</v>
      </c>
      <c r="AG35" s="237"/>
      <c r="AH35" s="26" t="s">
        <v>54</v>
      </c>
      <c r="AI35" s="27"/>
      <c r="AJ35" s="15"/>
      <c r="AK35" s="14"/>
    </row>
    <row r="36" spans="1:37" ht="15" customHeight="1" x14ac:dyDescent="0.25">
      <c r="A36" s="15"/>
      <c r="B36" s="29" t="s">
        <v>70</v>
      </c>
      <c r="C36" s="23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14"/>
      <c r="AE36" s="15"/>
      <c r="AF36" s="25" t="s">
        <v>56</v>
      </c>
      <c r="AG36" s="237"/>
      <c r="AH36" s="26" t="s">
        <v>57</v>
      </c>
      <c r="AI36" s="27"/>
      <c r="AJ36" s="15"/>
      <c r="AK36" s="14"/>
    </row>
    <row r="37" spans="1:37" ht="15" customHeight="1" x14ac:dyDescent="0.25">
      <c r="A37" s="15"/>
      <c r="B37" s="29"/>
      <c r="C37" s="23" t="s">
        <v>71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14"/>
      <c r="AE37" s="15"/>
      <c r="AF37" s="28"/>
      <c r="AG37" s="28"/>
      <c r="AH37" s="28"/>
      <c r="AI37" s="28"/>
      <c r="AJ37" s="15"/>
      <c r="AK37" s="14"/>
    </row>
    <row r="38" spans="1:37" ht="15" customHeight="1" x14ac:dyDescent="0.25">
      <c r="A38" s="15"/>
      <c r="B38" s="29"/>
      <c r="C38" s="23" t="s">
        <v>72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14"/>
      <c r="AE38" s="15"/>
      <c r="AF38" s="19" t="s">
        <v>73</v>
      </c>
      <c r="AG38" s="20"/>
      <c r="AH38" s="20"/>
      <c r="AI38" s="21"/>
      <c r="AJ38" s="15"/>
      <c r="AK38" s="14"/>
    </row>
    <row r="39" spans="1:37" ht="15" customHeight="1" x14ac:dyDescent="0.25">
      <c r="A39" s="15"/>
      <c r="B39" s="29"/>
      <c r="C39" s="23" t="s">
        <v>74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14"/>
      <c r="AE39" s="15"/>
      <c r="AF39" s="25" t="s">
        <v>14</v>
      </c>
      <c r="AG39" s="237"/>
      <c r="AH39" s="26" t="s">
        <v>75</v>
      </c>
      <c r="AI39" s="27"/>
      <c r="AJ39" s="15"/>
      <c r="AK39" s="14"/>
    </row>
    <row r="40" spans="1:37" ht="15" customHeight="1" x14ac:dyDescent="0.25">
      <c r="A40" s="15"/>
      <c r="B40" s="29"/>
      <c r="C40" s="23"/>
      <c r="D40" s="28" t="s">
        <v>76</v>
      </c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14"/>
      <c r="AE40" s="15"/>
      <c r="AF40" s="25" t="s">
        <v>23</v>
      </c>
      <c r="AG40" s="237"/>
      <c r="AH40" s="26" t="s">
        <v>77</v>
      </c>
      <c r="AI40" s="238" t="s">
        <v>65</v>
      </c>
      <c r="AJ40" s="15"/>
      <c r="AK40" s="14"/>
    </row>
    <row r="41" spans="1:37" ht="15" customHeight="1" x14ac:dyDescent="0.25">
      <c r="A41" s="15"/>
      <c r="B41" s="29"/>
      <c r="C41" s="23" t="s">
        <v>78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14"/>
      <c r="AE41" s="15"/>
      <c r="AF41" s="25" t="s">
        <v>26</v>
      </c>
      <c r="AG41" s="237"/>
      <c r="AH41" s="26" t="s">
        <v>79</v>
      </c>
      <c r="AI41" s="238"/>
      <c r="AJ41" s="15"/>
      <c r="AK41" s="14"/>
    </row>
    <row r="42" spans="1:37" ht="15" customHeight="1" x14ac:dyDescent="0.25">
      <c r="A42" s="15"/>
      <c r="B42" s="29"/>
      <c r="C42" s="23"/>
      <c r="D42" s="28" t="s">
        <v>80</v>
      </c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14"/>
      <c r="AE42" s="15"/>
      <c r="AF42" s="25" t="s">
        <v>81</v>
      </c>
      <c r="AG42" s="237"/>
      <c r="AH42" s="26" t="s">
        <v>82</v>
      </c>
      <c r="AI42" s="27"/>
      <c r="AJ42" s="15"/>
      <c r="AK42" s="14"/>
    </row>
    <row r="43" spans="1:37" ht="15" customHeight="1" x14ac:dyDescent="0.25">
      <c r="A43" s="15"/>
      <c r="B43" s="23"/>
      <c r="C43" s="23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14"/>
      <c r="AE43" s="15"/>
      <c r="AF43" s="25" t="s">
        <v>34</v>
      </c>
      <c r="AG43" s="237"/>
      <c r="AH43" s="26" t="s">
        <v>35</v>
      </c>
      <c r="AI43" s="27"/>
      <c r="AJ43" s="15"/>
      <c r="AK43" s="14"/>
    </row>
    <row r="44" spans="1:37" ht="15" customHeight="1" x14ac:dyDescent="0.25">
      <c r="A44" s="15"/>
      <c r="B44" s="33" t="s">
        <v>83</v>
      </c>
      <c r="C44" s="33"/>
      <c r="D44" s="33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14"/>
      <c r="AE44" s="15"/>
      <c r="AF44" s="25" t="s">
        <v>37</v>
      </c>
      <c r="AG44" s="237"/>
      <c r="AH44" s="26" t="s">
        <v>38</v>
      </c>
      <c r="AI44" s="27"/>
      <c r="AJ44" s="15"/>
      <c r="AK44" s="14"/>
    </row>
    <row r="45" spans="1:37" ht="15" customHeight="1" x14ac:dyDescent="0.25">
      <c r="A45" s="15"/>
      <c r="B45" s="23"/>
      <c r="C45" s="23" t="s">
        <v>84</v>
      </c>
      <c r="D45" s="23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14"/>
      <c r="AE45" s="15"/>
      <c r="AF45" s="25" t="s">
        <v>40</v>
      </c>
      <c r="AG45" s="237"/>
      <c r="AH45" s="26" t="s">
        <v>85</v>
      </c>
      <c r="AI45" s="27"/>
      <c r="AJ45" s="15"/>
      <c r="AK45" s="14"/>
    </row>
    <row r="46" spans="1:37" ht="15" customHeight="1" x14ac:dyDescent="0.25">
      <c r="A46" s="15"/>
      <c r="B46" s="23"/>
      <c r="C46" s="23" t="s">
        <v>86</v>
      </c>
      <c r="D46" s="23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14"/>
      <c r="AE46" s="15"/>
      <c r="AF46" s="25" t="s">
        <v>42</v>
      </c>
      <c r="AG46" s="237"/>
      <c r="AH46" s="26" t="s">
        <v>87</v>
      </c>
      <c r="AI46" s="27"/>
      <c r="AJ46" s="15"/>
      <c r="AK46" s="14"/>
    </row>
    <row r="47" spans="1:37" ht="15" customHeight="1" x14ac:dyDescent="0.25">
      <c r="A47" s="15"/>
      <c r="B47" s="23"/>
      <c r="C47" s="23" t="s">
        <v>88</v>
      </c>
      <c r="D47" s="23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14"/>
      <c r="AE47" s="15"/>
      <c r="AF47" s="25" t="s">
        <v>45</v>
      </c>
      <c r="AG47" s="237"/>
      <c r="AH47" s="26" t="s">
        <v>89</v>
      </c>
      <c r="AI47" s="30"/>
      <c r="AJ47" s="15"/>
      <c r="AK47" s="14"/>
    </row>
    <row r="48" spans="1:37" ht="15" customHeight="1" x14ac:dyDescent="0.2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4"/>
      <c r="AE48" s="15"/>
      <c r="AF48" s="31" t="s">
        <v>48</v>
      </c>
      <c r="AG48" s="237"/>
      <c r="AH48" s="26" t="s">
        <v>49</v>
      </c>
      <c r="AI48" s="27"/>
      <c r="AJ48" s="15"/>
      <c r="AK48" s="14"/>
    </row>
    <row r="49" spans="1:37" ht="15" customHeight="1" x14ac:dyDescent="0.25">
      <c r="A49" s="15"/>
      <c r="B49" s="29" t="s">
        <v>90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4"/>
      <c r="AE49" s="15"/>
      <c r="AF49" s="31" t="s">
        <v>51</v>
      </c>
      <c r="AG49" s="237"/>
      <c r="AH49" s="26" t="s">
        <v>91</v>
      </c>
      <c r="AI49" s="27"/>
      <c r="AJ49" s="15"/>
      <c r="AK49" s="14"/>
    </row>
    <row r="50" spans="1:37" ht="15" customHeight="1" x14ac:dyDescent="0.25">
      <c r="A50" s="15"/>
      <c r="B50" s="34" t="s">
        <v>92</v>
      </c>
      <c r="C50" s="23"/>
      <c r="D50" s="23" t="s">
        <v>93</v>
      </c>
      <c r="E50" s="23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4"/>
      <c r="AE50" s="15"/>
      <c r="AF50" s="25" t="s">
        <v>53</v>
      </c>
      <c r="AG50" s="237"/>
      <c r="AH50" s="26" t="s">
        <v>94</v>
      </c>
      <c r="AI50" s="27"/>
      <c r="AJ50" s="15"/>
      <c r="AK50" s="14"/>
    </row>
    <row r="51" spans="1:37" ht="15" customHeight="1" x14ac:dyDescent="0.25">
      <c r="A51" s="15"/>
      <c r="B51" s="34" t="s">
        <v>95</v>
      </c>
      <c r="C51" s="23"/>
      <c r="D51" s="23" t="s">
        <v>96</v>
      </c>
      <c r="E51" s="23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4"/>
      <c r="AE51" s="15"/>
      <c r="AF51" s="25" t="s">
        <v>56</v>
      </c>
      <c r="AG51" s="237"/>
      <c r="AH51" s="26" t="s">
        <v>97</v>
      </c>
      <c r="AI51" s="27"/>
      <c r="AJ51" s="15"/>
      <c r="AK51" s="14"/>
    </row>
    <row r="52" spans="1:37" ht="13.8" x14ac:dyDescent="0.25">
      <c r="A52" s="15"/>
      <c r="B52" s="34" t="s">
        <v>98</v>
      </c>
      <c r="C52" s="23"/>
      <c r="D52" s="23" t="s">
        <v>99</v>
      </c>
      <c r="E52" s="23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4"/>
      <c r="AE52" s="15"/>
      <c r="AF52" s="28"/>
      <c r="AG52" s="28"/>
      <c r="AH52" s="28"/>
      <c r="AI52" s="32"/>
      <c r="AJ52" s="15"/>
      <c r="AK52" s="14"/>
    </row>
    <row r="53" spans="1:37" ht="13.8" x14ac:dyDescent="0.25">
      <c r="A53" s="15"/>
      <c r="B53" s="34" t="s">
        <v>100</v>
      </c>
      <c r="C53" s="23"/>
      <c r="D53" s="23" t="s">
        <v>101</v>
      </c>
      <c r="E53" s="23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4"/>
      <c r="AE53" s="15"/>
      <c r="AF53" s="35" t="s">
        <v>102</v>
      </c>
      <c r="AG53" s="36"/>
      <c r="AH53" s="36"/>
      <c r="AI53" s="37"/>
      <c r="AJ53" s="15"/>
      <c r="AK53" s="14"/>
    </row>
    <row r="54" spans="1:37" ht="13.8" x14ac:dyDescent="0.25">
      <c r="A54" s="15"/>
      <c r="B54" s="34" t="s">
        <v>103</v>
      </c>
      <c r="C54" s="23"/>
      <c r="D54" s="23" t="s">
        <v>104</v>
      </c>
      <c r="E54" s="23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4"/>
      <c r="AE54" s="15"/>
      <c r="AF54" s="38" t="s">
        <v>105</v>
      </c>
      <c r="AG54" s="28"/>
      <c r="AH54" s="39" t="s">
        <v>106</v>
      </c>
      <c r="AI54" s="40" t="s">
        <v>107</v>
      </c>
      <c r="AJ54" s="15"/>
      <c r="AK54" s="14"/>
    </row>
    <row r="55" spans="1:37" ht="13.8" x14ac:dyDescent="0.25">
      <c r="A55" s="15"/>
      <c r="B55" s="34" t="s">
        <v>108</v>
      </c>
      <c r="C55" s="23"/>
      <c r="D55" s="23" t="s">
        <v>109</v>
      </c>
      <c r="E55" s="23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4"/>
      <c r="AE55" s="15"/>
      <c r="AF55" s="38" t="s">
        <v>110</v>
      </c>
      <c r="AG55" s="28"/>
      <c r="AH55" s="26" t="s">
        <v>111</v>
      </c>
      <c r="AI55" s="40" t="s">
        <v>107</v>
      </c>
      <c r="AJ55" s="15"/>
      <c r="AK55" s="14"/>
    </row>
    <row r="56" spans="1:37" ht="13.8" x14ac:dyDescent="0.25">
      <c r="A56" s="15"/>
      <c r="B56" s="34" t="s">
        <v>112</v>
      </c>
      <c r="C56" s="23"/>
      <c r="D56" s="23" t="s">
        <v>113</v>
      </c>
      <c r="E56" s="23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4"/>
      <c r="AE56" s="15"/>
      <c r="AF56" s="15"/>
      <c r="AG56" s="15"/>
      <c r="AH56" s="15"/>
      <c r="AI56" s="15"/>
      <c r="AJ56" s="15"/>
      <c r="AK56" s="14"/>
    </row>
    <row r="57" spans="1:37" ht="13.8" x14ac:dyDescent="0.25">
      <c r="A57" s="15"/>
      <c r="B57" s="34" t="s">
        <v>114</v>
      </c>
      <c r="C57" s="23"/>
      <c r="D57" s="23" t="s">
        <v>115</v>
      </c>
      <c r="E57" s="23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4"/>
      <c r="AE57" s="14"/>
      <c r="AF57" s="14"/>
      <c r="AG57" s="14"/>
      <c r="AH57" s="14"/>
      <c r="AI57" s="14"/>
      <c r="AJ57" s="14"/>
      <c r="AK57" s="14"/>
    </row>
    <row r="58" spans="1:37" ht="13.8" x14ac:dyDescent="0.25">
      <c r="A58" s="15"/>
      <c r="B58" s="34" t="s">
        <v>116</v>
      </c>
      <c r="C58" s="23"/>
      <c r="D58" s="23" t="s">
        <v>117</v>
      </c>
      <c r="E58" s="23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4"/>
    </row>
    <row r="59" spans="1:37" ht="13.8" x14ac:dyDescent="0.25">
      <c r="A59" s="15"/>
      <c r="B59" s="34" t="s">
        <v>118</v>
      </c>
      <c r="C59" s="23"/>
      <c r="D59" s="23" t="s">
        <v>119</v>
      </c>
      <c r="E59" s="23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4"/>
    </row>
    <row r="60" spans="1:37" ht="13.8" x14ac:dyDescent="0.25">
      <c r="A60" s="15"/>
      <c r="B60" s="34" t="s">
        <v>120</v>
      </c>
      <c r="C60" s="23"/>
      <c r="D60" s="23" t="s">
        <v>121</v>
      </c>
      <c r="E60" s="23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4"/>
    </row>
    <row r="61" spans="1:37" ht="13.8" x14ac:dyDescent="0.25">
      <c r="A61" s="15"/>
      <c r="B61" s="34" t="s">
        <v>122</v>
      </c>
      <c r="C61" s="23"/>
      <c r="D61" s="23" t="s">
        <v>123</v>
      </c>
      <c r="E61" s="23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4"/>
    </row>
    <row r="62" spans="1:37" ht="13.8" x14ac:dyDescent="0.25">
      <c r="A62" s="15"/>
      <c r="B62" s="34" t="s">
        <v>124</v>
      </c>
      <c r="C62" s="23"/>
      <c r="D62" s="23" t="s">
        <v>125</v>
      </c>
      <c r="E62" s="23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4"/>
    </row>
    <row r="63" spans="1:37" ht="13.8" x14ac:dyDescent="0.25">
      <c r="A63" s="15"/>
      <c r="B63" s="34" t="s">
        <v>126</v>
      </c>
      <c r="C63" s="23"/>
      <c r="D63" s="23" t="s">
        <v>127</v>
      </c>
      <c r="E63" s="23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4"/>
    </row>
    <row r="64" spans="1:37" ht="13.8" x14ac:dyDescent="0.25">
      <c r="A64" s="15"/>
      <c r="B64" s="34" t="s">
        <v>128</v>
      </c>
      <c r="C64" s="23"/>
      <c r="D64" s="23" t="s">
        <v>129</v>
      </c>
      <c r="E64" s="23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4"/>
    </row>
    <row r="65" spans="1:30" ht="13.8" x14ac:dyDescent="0.25">
      <c r="A65" s="15"/>
      <c r="B65" s="34" t="s">
        <v>130</v>
      </c>
      <c r="C65" s="23"/>
      <c r="D65" s="23" t="s">
        <v>131</v>
      </c>
      <c r="E65" s="23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4"/>
    </row>
    <row r="66" spans="1:30" ht="13.8" x14ac:dyDescent="0.25">
      <c r="A66" s="15"/>
      <c r="B66" s="34" t="s">
        <v>132</v>
      </c>
      <c r="C66" s="23"/>
      <c r="D66" s="23" t="s">
        <v>133</v>
      </c>
      <c r="E66" s="23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4"/>
    </row>
    <row r="67" spans="1:30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4"/>
    </row>
    <row r="68" spans="1:30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</sheetData>
  <mergeCells count="10">
    <mergeCell ref="B2:Y2"/>
    <mergeCell ref="AF2:AI2"/>
    <mergeCell ref="AG5:AG20"/>
    <mergeCell ref="AI6:AI7"/>
    <mergeCell ref="AI8:AI9"/>
    <mergeCell ref="AG23:AG36"/>
    <mergeCell ref="AI24:AI25"/>
    <mergeCell ref="AI26:AI27"/>
    <mergeCell ref="AG39:AG51"/>
    <mergeCell ref="AI40:AI41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J183"/>
  <sheetViews>
    <sheetView topLeftCell="A9" zoomScale="85" zoomScaleNormal="85" zoomScalePageLayoutView="60" workbookViewId="0">
      <selection activeCell="F19" sqref="F19"/>
    </sheetView>
  </sheetViews>
  <sheetFormatPr defaultRowHeight="13.2" x14ac:dyDescent="0.25"/>
  <cols>
    <col min="1" max="1" width="0.6640625" customWidth="1"/>
    <col min="2" max="3" width="12.6640625" style="41" customWidth="1"/>
    <col min="4" max="4" width="0.6640625" style="41" customWidth="1"/>
    <col min="5" max="6" width="12.6640625" style="41" customWidth="1"/>
    <col min="7" max="7" width="0.6640625" customWidth="1"/>
    <col min="8" max="9" width="12.6640625" customWidth="1"/>
    <col min="10" max="10" width="4.33203125" customWidth="1"/>
    <col min="11" max="12" width="12.6640625" customWidth="1"/>
    <col min="13" max="13" width="0.6640625" customWidth="1"/>
    <col min="14" max="15" width="12.6640625" customWidth="1"/>
    <col min="16" max="16" width="0.6640625" customWidth="1"/>
    <col min="17" max="18" width="12.6640625" customWidth="1"/>
    <col min="19" max="19" width="0.5546875" customWidth="1"/>
    <col min="20" max="21" width="12.6640625" customWidth="1"/>
    <col min="22" max="22" width="0.5546875" customWidth="1"/>
    <col min="23" max="24" width="12.6640625" customWidth="1"/>
    <col min="25" max="25" width="0.5546875" customWidth="1"/>
    <col min="26" max="27" width="12.6640625" customWidth="1"/>
    <col min="28" max="28" width="0.5546875" customWidth="1"/>
    <col min="29" max="29" width="12.6640625" customWidth="1"/>
    <col min="30" max="30" width="0.5546875" customWidth="1"/>
    <col min="31" max="31" width="12.6640625" customWidth="1"/>
    <col min="32" max="32" width="10.33203125" customWidth="1"/>
    <col min="33" max="33" width="9.109375" customWidth="1"/>
    <col min="34" max="34" width="9.109375" style="42" customWidth="1"/>
    <col min="35" max="1025" width="9.109375" customWidth="1"/>
  </cols>
  <sheetData>
    <row r="1" spans="1:34" s="47" customFormat="1" ht="15" customHeight="1" x14ac:dyDescent="0.25">
      <c r="A1" s="247" t="s">
        <v>286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8" t="s">
        <v>134</v>
      </c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  <c r="AD1" s="248"/>
      <c r="AE1" s="43"/>
      <c r="AF1" s="44"/>
      <c r="AG1" s="45"/>
      <c r="AH1" s="46"/>
    </row>
    <row r="2" spans="1:34" ht="3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9"/>
      <c r="AF2" s="50"/>
      <c r="AG2" s="51"/>
      <c r="AH2" s="52"/>
    </row>
    <row r="3" spans="1:34" s="53" customFormat="1" ht="13.5" customHeight="1" x14ac:dyDescent="0.25">
      <c r="B3" s="249" t="s">
        <v>135</v>
      </c>
      <c r="C3" s="249"/>
      <c r="D3" s="54"/>
      <c r="E3" s="55" t="s">
        <v>136</v>
      </c>
      <c r="F3" s="56" t="s">
        <v>137</v>
      </c>
      <c r="G3" s="57"/>
      <c r="H3" s="58" t="s">
        <v>138</v>
      </c>
      <c r="I3" s="59" t="s">
        <v>139</v>
      </c>
      <c r="K3" s="59" t="s">
        <v>140</v>
      </c>
      <c r="L3" s="60" t="s">
        <v>141</v>
      </c>
      <c r="N3" s="227"/>
      <c r="Q3" s="61"/>
      <c r="R3" s="62" t="s">
        <v>142</v>
      </c>
      <c r="T3" s="63">
        <v>30</v>
      </c>
      <c r="U3" s="64"/>
      <c r="V3" s="64"/>
      <c r="X3" s="65"/>
      <c r="Y3" s="65"/>
      <c r="Z3" s="65"/>
      <c r="AA3" s="65"/>
      <c r="AB3" s="65"/>
      <c r="AC3" s="65"/>
      <c r="AE3" s="66"/>
      <c r="AF3" s="67"/>
      <c r="AG3" s="68"/>
      <c r="AH3" s="69"/>
    </row>
    <row r="4" spans="1:34" s="53" customFormat="1" ht="13.5" customHeight="1" x14ac:dyDescent="0.25">
      <c r="B4" s="249" t="s">
        <v>143</v>
      </c>
      <c r="C4" s="249"/>
      <c r="D4" s="54"/>
      <c r="E4" s="70">
        <v>10</v>
      </c>
      <c r="F4" s="71">
        <v>2.5</v>
      </c>
      <c r="G4" s="54"/>
      <c r="H4" s="71">
        <v>2.5</v>
      </c>
      <c r="I4" s="72">
        <v>400</v>
      </c>
      <c r="K4" s="72">
        <v>400</v>
      </c>
      <c r="L4" s="73">
        <v>800</v>
      </c>
      <c r="N4" s="228"/>
      <c r="Q4" s="74"/>
      <c r="R4" s="62" t="s">
        <v>144</v>
      </c>
      <c r="S4" s="64"/>
      <c r="T4" s="75">
        <v>125</v>
      </c>
      <c r="X4" s="65"/>
      <c r="Y4" s="65"/>
      <c r="Z4" s="65"/>
      <c r="AA4" s="65"/>
      <c r="AB4" s="65"/>
      <c r="AC4" s="65"/>
      <c r="AE4" s="66"/>
      <c r="AF4" s="67"/>
      <c r="AG4" s="68"/>
      <c r="AH4" s="69"/>
    </row>
    <row r="5" spans="1:34" ht="13.5" customHeight="1" x14ac:dyDescent="0.25">
      <c r="A5" s="48"/>
      <c r="B5" s="61"/>
      <c r="C5" s="61"/>
      <c r="D5" s="61"/>
      <c r="E5" s="61"/>
      <c r="F5" s="61"/>
      <c r="G5" s="61"/>
      <c r="H5" s="61"/>
      <c r="I5" s="61"/>
      <c r="J5" s="48"/>
      <c r="K5" s="61"/>
      <c r="L5" s="62"/>
      <c r="M5" s="53"/>
      <c r="N5" s="48"/>
      <c r="O5" s="48"/>
      <c r="P5" s="48"/>
      <c r="Q5" s="76"/>
      <c r="R5" s="62" t="s">
        <v>145</v>
      </c>
      <c r="S5" s="64"/>
      <c r="T5" s="77">
        <v>150</v>
      </c>
      <c r="U5" s="78"/>
      <c r="V5" s="78"/>
      <c r="W5" s="48"/>
      <c r="X5" s="65"/>
      <c r="Y5" s="65"/>
      <c r="Z5" s="65"/>
      <c r="AA5" s="65"/>
      <c r="AB5" s="65"/>
      <c r="AC5" s="65"/>
      <c r="AD5" s="48"/>
      <c r="AE5" s="49"/>
      <c r="AF5" s="50"/>
      <c r="AG5" s="51"/>
      <c r="AH5" s="52"/>
    </row>
    <row r="6" spans="1:34" s="79" customFormat="1" ht="13.5" customHeight="1" x14ac:dyDescent="0.25">
      <c r="B6" s="79" t="s">
        <v>146</v>
      </c>
      <c r="AC6" s="64"/>
      <c r="AD6" s="64"/>
      <c r="AE6" s="80"/>
      <c r="AF6" s="81"/>
      <c r="AG6" s="82"/>
      <c r="AH6" s="83"/>
    </row>
    <row r="7" spans="1:34" ht="3.75" customHeight="1" x14ac:dyDescent="0.2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50"/>
      <c r="AF7" s="50"/>
      <c r="AG7" s="51"/>
      <c r="AH7" s="52"/>
    </row>
    <row r="8" spans="1:34" s="47" customFormat="1" ht="40.5" customHeight="1" x14ac:dyDescent="0.25">
      <c r="A8" s="85"/>
      <c r="B8" s="250" t="s">
        <v>147</v>
      </c>
      <c r="C8" s="250"/>
      <c r="D8" s="250"/>
      <c r="E8" s="250"/>
      <c r="F8" s="250"/>
      <c r="G8" s="250"/>
      <c r="H8" s="250"/>
      <c r="I8" s="250"/>
      <c r="J8" s="86"/>
      <c r="K8" s="251" t="s">
        <v>148</v>
      </c>
      <c r="L8" s="251"/>
      <c r="M8" s="251"/>
      <c r="N8" s="251"/>
      <c r="O8" s="251"/>
      <c r="P8" s="251"/>
      <c r="Q8" s="251"/>
      <c r="R8" s="251"/>
      <c r="S8" s="86"/>
      <c r="T8" s="252" t="s">
        <v>149</v>
      </c>
      <c r="U8" s="252"/>
      <c r="V8" s="86"/>
      <c r="W8" s="252" t="s">
        <v>150</v>
      </c>
      <c r="X8" s="252"/>
      <c r="Y8" s="87"/>
      <c r="Z8" s="253" t="s">
        <v>287</v>
      </c>
      <c r="AA8" s="253"/>
      <c r="AB8" s="253"/>
      <c r="AC8" s="253"/>
      <c r="AD8" s="86"/>
      <c r="AE8" s="44"/>
      <c r="AF8" s="44"/>
      <c r="AG8" s="45"/>
      <c r="AH8" s="46"/>
    </row>
    <row r="9" spans="1:34" ht="3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50"/>
      <c r="AF9" s="50"/>
      <c r="AG9" s="51"/>
      <c r="AH9" s="52"/>
    </row>
    <row r="10" spans="1:34" ht="13.5" customHeight="1" x14ac:dyDescent="0.25">
      <c r="A10" s="84"/>
      <c r="B10" s="246" t="s">
        <v>151</v>
      </c>
      <c r="C10" s="246"/>
      <c r="D10" s="84"/>
      <c r="E10" s="246" t="s">
        <v>152</v>
      </c>
      <c r="F10" s="246"/>
      <c r="G10" s="84"/>
      <c r="H10" s="246" t="s">
        <v>153</v>
      </c>
      <c r="I10" s="246"/>
      <c r="J10" s="86"/>
      <c r="K10" s="246" t="s">
        <v>154</v>
      </c>
      <c r="L10" s="246"/>
      <c r="M10" s="86"/>
      <c r="N10" s="246" t="s">
        <v>155</v>
      </c>
      <c r="O10" s="246"/>
      <c r="P10" s="86"/>
      <c r="Q10" s="246" t="s">
        <v>153</v>
      </c>
      <c r="R10" s="246"/>
      <c r="S10" s="86"/>
      <c r="T10" s="48"/>
      <c r="U10" s="48"/>
      <c r="V10" s="84"/>
      <c r="W10" s="48"/>
      <c r="X10" s="48"/>
      <c r="Y10" s="84"/>
      <c r="Z10" s="88"/>
      <c r="AA10" s="89" t="s">
        <v>156</v>
      </c>
      <c r="AB10" s="89"/>
      <c r="AC10" s="90" t="s">
        <v>157</v>
      </c>
      <c r="AD10" s="84"/>
      <c r="AE10" s="49"/>
      <c r="AF10" s="50"/>
      <c r="AG10" s="51"/>
      <c r="AH10" s="52"/>
    </row>
    <row r="11" spans="1:34" ht="13.5" customHeight="1" x14ac:dyDescent="0.25">
      <c r="A11" s="84"/>
      <c r="B11" s="91" t="s">
        <v>158</v>
      </c>
      <c r="C11" s="92">
        <v>47</v>
      </c>
      <c r="D11" s="84"/>
      <c r="E11" s="48" t="s">
        <v>159</v>
      </c>
      <c r="F11" s="93">
        <v>5</v>
      </c>
      <c r="G11" s="84"/>
      <c r="H11" s="94" t="s">
        <v>160</v>
      </c>
      <c r="I11" s="95">
        <v>14</v>
      </c>
      <c r="J11" s="86"/>
      <c r="K11" s="91" t="s">
        <v>158</v>
      </c>
      <c r="L11" s="96">
        <f>Cout_Vpre</f>
        <v>50</v>
      </c>
      <c r="M11" s="86"/>
      <c r="N11" s="48" t="s">
        <v>161</v>
      </c>
      <c r="O11" s="93">
        <v>5</v>
      </c>
      <c r="P11" s="86"/>
      <c r="Q11" s="91" t="s">
        <v>136</v>
      </c>
      <c r="R11" s="97">
        <f>Vpre</f>
        <v>5</v>
      </c>
      <c r="S11" s="86"/>
      <c r="T11" s="98" t="s">
        <v>162</v>
      </c>
      <c r="U11" s="99" t="s">
        <v>136</v>
      </c>
      <c r="V11" s="84"/>
      <c r="W11" s="48"/>
      <c r="X11" s="48"/>
      <c r="Y11" s="84"/>
      <c r="Z11" s="100" t="s">
        <v>136</v>
      </c>
      <c r="AA11" s="101">
        <f>Pdis_IC_Vpre</f>
        <v>1.7762500000000001E-2</v>
      </c>
      <c r="AB11" s="101"/>
      <c r="AC11" s="102">
        <f>Eff_Vpre</f>
        <v>0.30337009839406803</v>
      </c>
      <c r="AD11" s="84"/>
      <c r="AE11" s="49"/>
      <c r="AF11" s="50"/>
      <c r="AG11" s="51"/>
      <c r="AH11" s="52"/>
    </row>
    <row r="12" spans="1:34" ht="13.5" customHeight="1" x14ac:dyDescent="0.25">
      <c r="A12" s="84"/>
      <c r="B12" s="91" t="s">
        <v>163</v>
      </c>
      <c r="C12" s="103">
        <v>30</v>
      </c>
      <c r="D12" s="84"/>
      <c r="E12" s="48" t="s">
        <v>164</v>
      </c>
      <c r="F12" s="103">
        <v>17</v>
      </c>
      <c r="G12" s="84"/>
      <c r="H12" s="91"/>
      <c r="I12" s="97"/>
      <c r="J12" s="86"/>
      <c r="K12" s="91" t="s">
        <v>163</v>
      </c>
      <c r="L12" s="104">
        <f>ESR_Cout_Vpre</f>
        <v>3</v>
      </c>
      <c r="M12" s="86"/>
      <c r="N12" s="48" t="s">
        <v>165</v>
      </c>
      <c r="O12" s="105">
        <v>280</v>
      </c>
      <c r="P12" s="86"/>
      <c r="Q12" s="91"/>
      <c r="R12" s="97"/>
      <c r="S12" s="86"/>
      <c r="T12" s="94" t="s">
        <v>139</v>
      </c>
      <c r="U12" s="95">
        <v>2.5</v>
      </c>
      <c r="V12" s="84"/>
      <c r="W12" s="94" t="s">
        <v>140</v>
      </c>
      <c r="X12" s="95">
        <v>1.1000000000000001</v>
      </c>
      <c r="Y12" s="84"/>
      <c r="Z12" s="100" t="s">
        <v>141</v>
      </c>
      <c r="AA12" s="101">
        <f>Pdis_IC_Boost</f>
        <v>0</v>
      </c>
      <c r="AB12" s="101"/>
      <c r="AC12" s="102" t="str">
        <f>IF(Pdis_IC_Boost=0,"-",Eff_Boost)</f>
        <v>-</v>
      </c>
      <c r="AD12" s="84"/>
      <c r="AE12" s="49"/>
      <c r="AF12" s="50"/>
      <c r="AG12" s="51"/>
      <c r="AH12" s="52"/>
    </row>
    <row r="13" spans="1:34" ht="13.5" customHeight="1" x14ac:dyDescent="0.25">
      <c r="A13" s="84"/>
      <c r="B13" s="91" t="s">
        <v>166</v>
      </c>
      <c r="C13" s="92">
        <v>50</v>
      </c>
      <c r="D13" s="84"/>
      <c r="E13" s="48" t="s">
        <v>167</v>
      </c>
      <c r="F13" s="106">
        <v>7</v>
      </c>
      <c r="G13" s="84"/>
      <c r="H13" s="94" t="s">
        <v>136</v>
      </c>
      <c r="I13" s="95">
        <v>5</v>
      </c>
      <c r="J13" s="86"/>
      <c r="K13" s="91" t="s">
        <v>166</v>
      </c>
      <c r="L13" s="92">
        <v>20</v>
      </c>
      <c r="M13" s="86"/>
      <c r="N13" s="48" t="s">
        <v>168</v>
      </c>
      <c r="O13" s="107">
        <v>1</v>
      </c>
      <c r="P13" s="86"/>
      <c r="Q13" s="94" t="s">
        <v>141</v>
      </c>
      <c r="R13" s="95">
        <v>5.74</v>
      </c>
      <c r="S13" s="86"/>
      <c r="T13" s="94" t="s">
        <v>169</v>
      </c>
      <c r="U13" s="108">
        <v>0</v>
      </c>
      <c r="V13" s="84"/>
      <c r="W13" s="98" t="s">
        <v>170</v>
      </c>
      <c r="X13" s="108">
        <v>0</v>
      </c>
      <c r="Y13" s="84"/>
      <c r="Z13" s="100" t="s">
        <v>137</v>
      </c>
      <c r="AA13" s="101">
        <f>Pdis_IC_Buck1</f>
        <v>0</v>
      </c>
      <c r="AB13" s="101"/>
      <c r="AC13" s="102">
        <f>Eff_Buck1</f>
        <v>1</v>
      </c>
      <c r="AD13" s="84"/>
      <c r="AE13" s="49"/>
      <c r="AF13" s="50"/>
      <c r="AG13" s="51"/>
      <c r="AH13" s="52"/>
    </row>
    <row r="14" spans="1:34" ht="13.5" customHeight="1" x14ac:dyDescent="0.25">
      <c r="A14" s="84"/>
      <c r="B14" s="91" t="s">
        <v>171</v>
      </c>
      <c r="C14" s="103">
        <v>3</v>
      </c>
      <c r="D14" s="84"/>
      <c r="E14" s="48" t="s">
        <v>172</v>
      </c>
      <c r="F14" s="106">
        <v>3</v>
      </c>
      <c r="G14" s="84"/>
      <c r="H14" s="91"/>
      <c r="I14" s="109"/>
      <c r="J14" s="86"/>
      <c r="K14" s="91" t="s">
        <v>171</v>
      </c>
      <c r="L14" s="103">
        <v>10</v>
      </c>
      <c r="M14" s="86"/>
      <c r="N14" s="48" t="s">
        <v>173</v>
      </c>
      <c r="O14" s="110">
        <v>500</v>
      </c>
      <c r="P14" s="86"/>
      <c r="Q14" s="111" t="s">
        <v>174</v>
      </c>
      <c r="R14" s="112">
        <f>Iboost_tot/(1-Duty_Cycle_Boost)</f>
        <v>0</v>
      </c>
      <c r="S14" s="86"/>
      <c r="T14" s="48"/>
      <c r="U14" s="113" t="str">
        <f>"( ≤ "&amp;LDO1_Imax&amp;" mA )"</f>
        <v>( ≤ 400 mA )</v>
      </c>
      <c r="V14" s="84"/>
      <c r="W14" s="48"/>
      <c r="X14" s="113" t="str">
        <f>"( ≤ "&amp;LDO2_Imax&amp;" mA )"</f>
        <v>( ≤ 400 mA )</v>
      </c>
      <c r="Y14" s="84"/>
      <c r="Z14" s="100" t="s">
        <v>138</v>
      </c>
      <c r="AA14" s="101">
        <f>Pdis_IC_Buck3</f>
        <v>0</v>
      </c>
      <c r="AB14" s="101"/>
      <c r="AC14" s="102" t="str">
        <f>IF(Pdis_IC_Buck3=0,"-",Eff_Buck3)</f>
        <v>-</v>
      </c>
      <c r="AD14" s="84"/>
      <c r="AE14" s="49"/>
      <c r="AF14" s="50"/>
      <c r="AG14" s="51"/>
      <c r="AH14" s="52"/>
    </row>
    <row r="15" spans="1:34" ht="13.5" customHeight="1" x14ac:dyDescent="0.25">
      <c r="A15" s="84"/>
      <c r="B15" s="114" t="s">
        <v>175</v>
      </c>
      <c r="C15" s="115">
        <v>4.7</v>
      </c>
      <c r="D15" s="84"/>
      <c r="E15" s="48" t="s">
        <v>176</v>
      </c>
      <c r="F15" s="106">
        <v>2</v>
      </c>
      <c r="G15" s="84"/>
      <c r="H15" s="94" t="s">
        <v>177</v>
      </c>
      <c r="I15" s="116">
        <f>Pout_Buck1/Vpre/Eff_Buck1+Pout_Buck3/Vpre/Eff_Buck3+Pout_Boost/Vpre/Eff_Boost+IF(LDO1_in="Vpre",I_LDO1/1000,0)+IF(LDO3_in="Vpre",I_LDO3/1000,0)+IF(LDO4_in="Vpre",I_LDO4/1000,0)+IF(Vpre=5,F26/1000,0)</f>
        <v>6.3700000599999996E-3</v>
      </c>
      <c r="J15" s="86"/>
      <c r="K15" s="114" t="s">
        <v>175</v>
      </c>
      <c r="L15" s="115">
        <v>4.7</v>
      </c>
      <c r="M15" s="86"/>
      <c r="N15" s="48" t="s">
        <v>178</v>
      </c>
      <c r="O15" s="117">
        <f>Vpre/LS_SlewRate*1000</f>
        <v>10</v>
      </c>
      <c r="P15" s="86"/>
      <c r="S15" s="86"/>
      <c r="T15" s="94"/>
      <c r="U15" s="118"/>
      <c r="V15" s="84"/>
      <c r="W15" s="48"/>
      <c r="X15" s="101"/>
      <c r="Y15" s="84"/>
      <c r="Z15" s="100" t="s">
        <v>139</v>
      </c>
      <c r="AA15" s="101">
        <f>Pdis_IC_LDO1</f>
        <v>0</v>
      </c>
      <c r="AB15" s="101"/>
      <c r="AC15" s="102" t="str">
        <f>Eff_LDO1</f>
        <v>-</v>
      </c>
      <c r="AD15" s="84"/>
      <c r="AE15" s="49"/>
      <c r="AF15" s="50"/>
      <c r="AG15" s="51"/>
      <c r="AH15" s="52"/>
    </row>
    <row r="16" spans="1:34" ht="13.5" customHeight="1" x14ac:dyDescent="0.25">
      <c r="A16" s="84"/>
      <c r="B16" s="91" t="s">
        <v>179</v>
      </c>
      <c r="C16" s="103">
        <v>19</v>
      </c>
      <c r="D16" s="84"/>
      <c r="E16" s="48" t="s">
        <v>180</v>
      </c>
      <c r="F16" s="108">
        <v>900</v>
      </c>
      <c r="G16" s="84"/>
      <c r="H16" s="94" t="s">
        <v>181</v>
      </c>
      <c r="I16" s="119">
        <v>0</v>
      </c>
      <c r="J16" s="86"/>
      <c r="K16" s="91" t="s">
        <v>179</v>
      </c>
      <c r="L16" s="103">
        <v>30</v>
      </c>
      <c r="M16" s="86"/>
      <c r="N16" s="48"/>
      <c r="O16" s="105"/>
      <c r="P16" s="86"/>
      <c r="Q16" s="94" t="s">
        <v>182</v>
      </c>
      <c r="R16" s="118">
        <f>I_LDO2+IF(LDO1_in="Boost",I_LDO1,0)+IF(Vpre&lt;5,F26,0)</f>
        <v>0</v>
      </c>
      <c r="S16" s="86"/>
      <c r="T16" s="48"/>
      <c r="U16" s="120"/>
      <c r="V16" s="84"/>
      <c r="W16" s="48"/>
      <c r="X16" s="121"/>
      <c r="Y16" s="84"/>
      <c r="Z16" s="100" t="s">
        <v>140</v>
      </c>
      <c r="AA16" s="101">
        <f>Pdis_IC_LDO2</f>
        <v>0</v>
      </c>
      <c r="AB16" s="101"/>
      <c r="AC16" s="102" t="str">
        <f>Eff_LDO2</f>
        <v>-</v>
      </c>
      <c r="AD16" s="84"/>
      <c r="AE16" s="49"/>
      <c r="AF16" s="50"/>
      <c r="AG16" s="51"/>
      <c r="AH16" s="52"/>
    </row>
    <row r="17" spans="1:32" ht="13.5" customHeight="1" x14ac:dyDescent="0.25">
      <c r="A17" s="84"/>
      <c r="B17" s="91" t="s">
        <v>183</v>
      </c>
      <c r="C17" s="103">
        <v>15</v>
      </c>
      <c r="D17" s="84"/>
      <c r="E17" s="122" t="s">
        <v>184</v>
      </c>
      <c r="F17" s="123">
        <f>1000*(HS_QGD_Vpre+HS_QGS_Vpre/2)/HS_Igate_Vpre</f>
        <v>4.4444444444444446</v>
      </c>
      <c r="G17" s="84"/>
      <c r="H17" s="94" t="s">
        <v>185</v>
      </c>
      <c r="I17" s="120">
        <f>Ipre+Ipre_add</f>
        <v>6.3700000599999996E-3</v>
      </c>
      <c r="J17" s="86"/>
      <c r="K17" s="91" t="s">
        <v>186</v>
      </c>
      <c r="L17" s="124">
        <v>0.35</v>
      </c>
      <c r="M17" s="86"/>
      <c r="N17" s="48"/>
      <c r="O17" s="125"/>
      <c r="P17" s="86"/>
      <c r="Q17" s="94" t="s">
        <v>187</v>
      </c>
      <c r="R17" s="108">
        <v>0</v>
      </c>
      <c r="S17" s="86"/>
      <c r="T17" s="48"/>
      <c r="U17" s="48"/>
      <c r="V17" s="84"/>
      <c r="W17" s="48"/>
      <c r="X17" s="48"/>
      <c r="Y17" s="84"/>
      <c r="Z17" s="100" t="s">
        <v>189</v>
      </c>
      <c r="AA17" s="101">
        <f>Vsup*0.005</f>
        <v>7.0000000000000007E-2</v>
      </c>
      <c r="AB17" s="101"/>
      <c r="AC17" s="102" t="s">
        <v>190</v>
      </c>
      <c r="AD17" s="84"/>
      <c r="AE17" s="126"/>
      <c r="AF17" s="50"/>
    </row>
    <row r="18" spans="1:32" ht="13.5" customHeight="1" x14ac:dyDescent="0.25">
      <c r="A18" s="84"/>
      <c r="B18" s="91"/>
      <c r="C18" s="127"/>
      <c r="D18" s="84"/>
      <c r="E18" s="128" t="s">
        <v>161</v>
      </c>
      <c r="F18" s="129">
        <v>5</v>
      </c>
      <c r="G18" s="84"/>
      <c r="H18" s="48"/>
      <c r="I18" s="130" t="str">
        <f>"( ≤ "&amp;Vpre_Imax&amp;" A )"</f>
        <v>( ≤ 10 A )</v>
      </c>
      <c r="J18" s="86"/>
      <c r="K18" s="91"/>
      <c r="L18" s="127"/>
      <c r="M18" s="86"/>
      <c r="N18" s="48"/>
      <c r="O18" s="117"/>
      <c r="P18" s="86"/>
      <c r="Q18" s="94" t="s">
        <v>188</v>
      </c>
      <c r="R18" s="118">
        <f>Iboost_add+Iboost</f>
        <v>0</v>
      </c>
      <c r="S18" s="86"/>
      <c r="T18" s="48"/>
      <c r="U18" s="48"/>
      <c r="V18" s="84"/>
      <c r="W18" s="48"/>
      <c r="X18" s="48"/>
      <c r="Y18" s="84"/>
      <c r="AD18" s="84"/>
      <c r="AE18" s="126"/>
    </row>
    <row r="19" spans="1:32" ht="13.5" customHeight="1" x14ac:dyDescent="0.25">
      <c r="A19" s="84"/>
      <c r="B19" s="91"/>
      <c r="C19" s="127"/>
      <c r="D19" s="84"/>
      <c r="E19" s="128" t="s">
        <v>165</v>
      </c>
      <c r="F19" s="131">
        <v>17</v>
      </c>
      <c r="G19" s="84"/>
      <c r="J19" s="86"/>
      <c r="K19" s="91"/>
      <c r="L19" s="127"/>
      <c r="M19" s="86"/>
      <c r="N19" s="48"/>
      <c r="O19" s="117"/>
      <c r="P19" s="86"/>
      <c r="Q19" s="48"/>
      <c r="R19" s="132" t="str">
        <f>"( ≤ "&amp;Boost_Imax&amp;" mA )"</f>
        <v>( ≤ 800 mA )</v>
      </c>
      <c r="S19" s="86"/>
      <c r="T19" s="48"/>
      <c r="U19" s="48"/>
      <c r="V19" s="84"/>
      <c r="W19" s="48"/>
      <c r="X19" s="48"/>
      <c r="Y19" s="84"/>
      <c r="Z19" s="100"/>
      <c r="AA19" s="101"/>
      <c r="AB19" s="101"/>
      <c r="AC19" s="102"/>
      <c r="AD19" s="84"/>
      <c r="AE19" s="126"/>
    </row>
    <row r="20" spans="1:32" ht="13.5" customHeight="1" x14ac:dyDescent="0.25">
      <c r="A20" s="84"/>
      <c r="B20" s="91"/>
      <c r="C20" s="127"/>
      <c r="D20" s="84"/>
      <c r="E20" s="48" t="s">
        <v>191</v>
      </c>
      <c r="F20" s="106">
        <v>7</v>
      </c>
      <c r="G20" s="84"/>
      <c r="H20" s="94" t="s">
        <v>192</v>
      </c>
      <c r="I20" s="133">
        <v>455</v>
      </c>
      <c r="J20" s="86"/>
      <c r="K20" s="91"/>
      <c r="L20" s="127"/>
      <c r="M20" s="86"/>
      <c r="N20" s="48"/>
      <c r="O20" s="117"/>
      <c r="P20" s="86"/>
      <c r="S20" s="86"/>
      <c r="T20" s="48"/>
      <c r="U20" s="48"/>
      <c r="V20" s="84"/>
      <c r="W20" s="48"/>
      <c r="X20" s="48"/>
      <c r="Y20" s="84"/>
      <c r="Z20" s="100"/>
      <c r="AA20" s="101"/>
      <c r="AB20" s="101"/>
      <c r="AC20" s="102"/>
      <c r="AD20" s="84"/>
      <c r="AE20" s="126"/>
    </row>
    <row r="21" spans="1:32" ht="13.5" customHeight="1" x14ac:dyDescent="0.25">
      <c r="A21" s="84"/>
      <c r="B21" s="91"/>
      <c r="C21" s="127"/>
      <c r="D21" s="84"/>
      <c r="E21" s="48" t="s">
        <v>193</v>
      </c>
      <c r="F21" s="106">
        <v>3</v>
      </c>
      <c r="G21" s="84"/>
      <c r="H21" s="94"/>
      <c r="I21" s="134"/>
      <c r="J21" s="86"/>
      <c r="K21" s="91"/>
      <c r="L21" s="127"/>
      <c r="M21" s="86"/>
      <c r="N21" s="48"/>
      <c r="O21" s="117"/>
      <c r="P21" s="86"/>
      <c r="Q21" s="94" t="s">
        <v>192</v>
      </c>
      <c r="R21" s="135">
        <v>2220</v>
      </c>
      <c r="S21" s="86"/>
      <c r="T21" s="48"/>
      <c r="U21" s="48"/>
      <c r="V21" s="84"/>
      <c r="W21" s="48"/>
      <c r="X21" s="48"/>
      <c r="Y21" s="84"/>
      <c r="Z21" s="100"/>
      <c r="AA21" s="101"/>
      <c r="AB21" s="101"/>
      <c r="AC21" s="102"/>
      <c r="AD21" s="84"/>
      <c r="AE21" s="126"/>
    </row>
    <row r="22" spans="1:32" ht="13.5" customHeight="1" x14ac:dyDescent="0.25">
      <c r="A22" s="84"/>
      <c r="B22" s="91"/>
      <c r="C22" s="127"/>
      <c r="D22" s="84"/>
      <c r="E22" s="48" t="s">
        <v>194</v>
      </c>
      <c r="F22" s="106">
        <v>2</v>
      </c>
      <c r="G22" s="84"/>
      <c r="H22" s="94"/>
      <c r="I22" s="134"/>
      <c r="J22" s="86"/>
      <c r="K22" s="91"/>
      <c r="L22" s="127"/>
      <c r="M22" s="86"/>
      <c r="N22" s="48"/>
      <c r="O22" s="117"/>
      <c r="P22" s="86"/>
      <c r="Q22" s="94"/>
      <c r="R22" s="134"/>
      <c r="S22" s="86"/>
      <c r="T22" s="48"/>
      <c r="U22" s="48"/>
      <c r="V22" s="84"/>
      <c r="W22" s="48"/>
      <c r="X22" s="48"/>
      <c r="Y22" s="84"/>
      <c r="Z22" s="100"/>
      <c r="AA22" s="101"/>
      <c r="AB22" s="101"/>
      <c r="AC22" s="102"/>
      <c r="AD22" s="84"/>
      <c r="AE22" s="126"/>
    </row>
    <row r="23" spans="1:32" ht="13.5" customHeight="1" x14ac:dyDescent="0.25">
      <c r="A23" s="84"/>
      <c r="B23" s="91"/>
      <c r="C23" s="127"/>
      <c r="D23" s="84"/>
      <c r="E23" s="48" t="s">
        <v>195</v>
      </c>
      <c r="F23" s="106">
        <v>16</v>
      </c>
      <c r="G23" s="84"/>
      <c r="H23" s="94"/>
      <c r="I23" s="134"/>
      <c r="J23" s="86"/>
      <c r="K23" s="91"/>
      <c r="L23" s="127"/>
      <c r="M23" s="86"/>
      <c r="N23" s="48"/>
      <c r="O23" s="117"/>
      <c r="P23" s="86"/>
      <c r="Q23" s="94"/>
      <c r="R23" s="134"/>
      <c r="S23" s="86"/>
      <c r="T23" s="48"/>
      <c r="U23" s="48"/>
      <c r="V23" s="84"/>
      <c r="W23" s="48"/>
      <c r="X23" s="48"/>
      <c r="Y23" s="84"/>
      <c r="Z23" s="100"/>
      <c r="AA23" s="101"/>
      <c r="AB23" s="101"/>
      <c r="AC23" s="102"/>
      <c r="AD23" s="84"/>
      <c r="AE23" s="126"/>
    </row>
    <row r="24" spans="1:32" ht="13.5" customHeight="1" x14ac:dyDescent="0.25">
      <c r="A24" s="84"/>
      <c r="B24" s="91"/>
      <c r="C24" s="127"/>
      <c r="D24" s="84"/>
      <c r="E24" s="48" t="s">
        <v>196</v>
      </c>
      <c r="F24" s="108">
        <v>900</v>
      </c>
      <c r="G24" s="84"/>
      <c r="H24" s="94"/>
      <c r="I24" s="134"/>
      <c r="J24" s="86"/>
      <c r="K24" s="91"/>
      <c r="L24" s="127"/>
      <c r="M24" s="86"/>
      <c r="N24" s="48"/>
      <c r="O24" s="117"/>
      <c r="P24" s="86"/>
      <c r="Q24" s="94"/>
      <c r="R24" s="134"/>
      <c r="S24" s="86"/>
      <c r="T24" s="48"/>
      <c r="U24" s="48"/>
      <c r="V24" s="84"/>
      <c r="W24" s="48"/>
      <c r="X24" s="48"/>
      <c r="Y24" s="84"/>
      <c r="Z24" s="100"/>
      <c r="AA24" s="101"/>
      <c r="AB24" s="101"/>
      <c r="AC24" s="102"/>
      <c r="AD24" s="84"/>
      <c r="AE24" s="126"/>
    </row>
    <row r="25" spans="1:32" ht="13.5" customHeight="1" x14ac:dyDescent="0.25">
      <c r="A25" s="84"/>
      <c r="B25" s="91"/>
      <c r="C25" s="127"/>
      <c r="D25" s="84"/>
      <c r="E25" s="122" t="s">
        <v>178</v>
      </c>
      <c r="F25" s="123">
        <f>1000*(LS_QGD_Vpre+LS_QGS_Vpre/2)/LS_Igate_Vpre</f>
        <v>4.4444444444444446</v>
      </c>
      <c r="G25" s="84"/>
      <c r="H25" s="94"/>
      <c r="I25" s="134"/>
      <c r="J25" s="86"/>
      <c r="K25" s="91"/>
      <c r="L25" s="127"/>
      <c r="M25" s="86"/>
      <c r="N25" s="48"/>
      <c r="O25" s="117"/>
      <c r="P25" s="86"/>
      <c r="Q25" s="94"/>
      <c r="R25" s="134"/>
      <c r="S25" s="86"/>
      <c r="T25" s="48"/>
      <c r="U25" s="48"/>
      <c r="V25" s="84"/>
      <c r="W25" s="48"/>
      <c r="X25" s="48"/>
      <c r="Y25" s="84"/>
      <c r="Z25" s="100"/>
      <c r="AA25" s="101"/>
      <c r="AB25" s="101"/>
      <c r="AC25" s="102"/>
      <c r="AD25" s="84"/>
      <c r="AE25" s="126"/>
    </row>
    <row r="26" spans="1:32" ht="13.5" customHeight="1" x14ac:dyDescent="0.25">
      <c r="A26" s="84"/>
      <c r="B26" s="91"/>
      <c r="C26" s="127"/>
      <c r="D26" s="84"/>
      <c r="E26" s="128" t="s">
        <v>197</v>
      </c>
      <c r="F26" s="136">
        <f>(QHS_Vpre*FSW_Vpre+QLS_VPRE*FSW_Vpre)/1000</f>
        <v>6.37</v>
      </c>
      <c r="G26" s="84"/>
      <c r="H26" s="94"/>
      <c r="I26" s="134"/>
      <c r="J26" s="86"/>
      <c r="K26" s="91"/>
      <c r="L26" s="127"/>
      <c r="M26" s="86"/>
      <c r="N26" s="48"/>
      <c r="O26" s="117"/>
      <c r="P26" s="86"/>
      <c r="Q26" s="94"/>
      <c r="R26" s="134"/>
      <c r="S26" s="86"/>
      <c r="T26" s="48"/>
      <c r="U26" s="48"/>
      <c r="V26" s="84"/>
      <c r="W26" s="48"/>
      <c r="X26" s="48"/>
      <c r="Y26" s="84"/>
      <c r="Z26" s="100"/>
      <c r="AA26" s="101"/>
      <c r="AB26" s="101"/>
      <c r="AC26" s="102"/>
      <c r="AD26" s="84"/>
      <c r="AE26" s="126"/>
    </row>
    <row r="27" spans="1:32" ht="3.75" customHeight="1" x14ac:dyDescent="0.25">
      <c r="A27" s="84"/>
      <c r="B27" s="91"/>
      <c r="C27" s="127"/>
      <c r="D27" s="84"/>
      <c r="E27" s="48"/>
      <c r="F27" s="48"/>
      <c r="G27" s="84"/>
      <c r="H27" s="94"/>
      <c r="I27" s="137"/>
      <c r="J27" s="86"/>
      <c r="K27" s="91"/>
      <c r="L27" s="127"/>
      <c r="M27" s="86"/>
      <c r="N27" s="48"/>
      <c r="O27" s="117"/>
      <c r="P27" s="86"/>
      <c r="Q27" s="91"/>
      <c r="R27" s="137"/>
      <c r="S27" s="86"/>
      <c r="T27" s="48"/>
      <c r="U27" s="48"/>
      <c r="V27" s="84"/>
      <c r="W27" s="48"/>
      <c r="X27" s="48"/>
      <c r="Y27" s="84"/>
      <c r="Z27" s="48"/>
      <c r="AA27" s="48"/>
      <c r="AB27" s="48"/>
      <c r="AC27" s="48"/>
      <c r="AD27" s="84"/>
      <c r="AE27" s="126"/>
    </row>
    <row r="28" spans="1:32" ht="3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138"/>
      <c r="AA28" s="88"/>
      <c r="AB28" s="88"/>
      <c r="AC28" s="88"/>
      <c r="AD28" s="84"/>
      <c r="AE28" s="126"/>
    </row>
    <row r="29" spans="1:32" ht="13.5" customHeight="1" x14ac:dyDescent="0.25">
      <c r="A29" s="84"/>
      <c r="B29" s="139"/>
      <c r="C29" s="140"/>
      <c r="D29" s="88"/>
      <c r="E29" s="139" t="s">
        <v>198</v>
      </c>
      <c r="F29" s="141">
        <f>(Vpre+(Ipre+Ipre_add)*LS_Rdson_Vpre/1000)/(Vsup-(Ipre+Ipre_add)*HS_Rdson_Vpre/1000+(Ipre+Ipre_add)*LS_Rdson_Vpre/1000)</f>
        <v>0.35715059214292999</v>
      </c>
      <c r="G29" s="91"/>
      <c r="H29" s="139" t="s">
        <v>199</v>
      </c>
      <c r="I29" s="142">
        <f>Vpre*(Ipre+Ipre_add)</f>
        <v>3.18500003E-2</v>
      </c>
      <c r="J29" s="143"/>
      <c r="K29" s="144"/>
      <c r="L29" s="145"/>
      <c r="M29" s="146"/>
      <c r="N29" s="144" t="s">
        <v>200</v>
      </c>
      <c r="O29" s="147">
        <f>(Boost-Vpre+Vdiode_Boost)/(Boost+Vdiode_Boost-(LS_Rdson_Boost/1000*Iboost_tot/1000*Boost/Vpre))</f>
        <v>0.17898193760262732</v>
      </c>
      <c r="P29" s="146"/>
      <c r="Q29" s="144" t="s">
        <v>199</v>
      </c>
      <c r="R29" s="146">
        <f>IF(Iboost_tot=0,0.0000000001,Boost*Iboost_tot/1000)</f>
        <v>1E-10</v>
      </c>
      <c r="S29" s="143"/>
      <c r="T29" s="88"/>
      <c r="U29" s="148"/>
      <c r="V29" s="84"/>
      <c r="W29" s="88"/>
      <c r="X29" s="148"/>
      <c r="Y29" s="84"/>
      <c r="Z29" s="48"/>
      <c r="AA29" s="48"/>
      <c r="AB29" s="48"/>
      <c r="AC29" s="48"/>
      <c r="AD29" s="84"/>
      <c r="AE29" s="126"/>
    </row>
    <row r="30" spans="1:32" ht="3.75" customHeight="1" x14ac:dyDescent="0.25">
      <c r="A30" s="84"/>
      <c r="B30" s="48"/>
      <c r="C30" s="121"/>
      <c r="D30" s="48"/>
      <c r="E30" s="149"/>
      <c r="F30" s="121"/>
      <c r="G30" s="48"/>
      <c r="H30" s="48"/>
      <c r="I30" s="48"/>
      <c r="J30" s="84"/>
      <c r="K30" s="150"/>
      <c r="L30" s="150"/>
      <c r="M30" s="150"/>
      <c r="N30" s="150"/>
      <c r="O30" s="150"/>
      <c r="P30" s="150"/>
      <c r="Q30" s="150"/>
      <c r="R30" s="150"/>
      <c r="S30" s="84"/>
      <c r="T30" s="88"/>
      <c r="U30" s="151"/>
      <c r="V30" s="84"/>
      <c r="W30" s="88"/>
      <c r="X30" s="151"/>
      <c r="Y30" s="84"/>
      <c r="Z30" s="138"/>
      <c r="AA30" s="88"/>
      <c r="AB30" s="88"/>
      <c r="AC30" s="88"/>
      <c r="AD30" s="84"/>
      <c r="AE30" s="126"/>
    </row>
    <row r="31" spans="1:32" ht="13.5" customHeight="1" x14ac:dyDescent="0.25">
      <c r="A31" s="84"/>
      <c r="B31" s="139" t="s">
        <v>17</v>
      </c>
      <c r="C31" s="101">
        <f>Duty_Cycle_Vpre*(Ipre+Ipre_add)^2*HS_Rdson_Vpre/1000</f>
        <v>2.4636509030061626E-7</v>
      </c>
      <c r="D31" s="48"/>
      <c r="E31" s="139" t="s">
        <v>32</v>
      </c>
      <c r="F31" s="101">
        <f>0.7*(Ipre+Ipre_add)*(2*0.00002)*FSW_Vpre</f>
        <v>8.1153800764399993E-5</v>
      </c>
      <c r="G31" s="48"/>
      <c r="H31" s="152">
        <f>IF(HS_Igate_Vpre=900,1.6,IF(HS_Igate_Vpre=520,2.8,IF(HS_Igate_Vpre=260,5.6,11)))</f>
        <v>1.6</v>
      </c>
      <c r="I31" s="48"/>
      <c r="J31" s="84"/>
      <c r="K31" s="144" t="s">
        <v>23</v>
      </c>
      <c r="L31" s="101">
        <f>IF(Iboost_tot=0,0,Duty_Cycle_Boost*(Iboost_in/1000)^2*LS_Rdson_Boost/1000)</f>
        <v>0</v>
      </c>
      <c r="M31" s="48"/>
      <c r="N31" s="139" t="s">
        <v>34</v>
      </c>
      <c r="O31" s="101">
        <f>IF(Iboost_tot=0,0,ESR_Cin_Boost/1000*ABS(Iboost_tot/1000*((Boost*TLS_sw_Boost/(SQRT(12)*Iboost_tot*L_Boost))*((Duty_Cycle_Boost-1)/Duty_Cycle_Boost^2))))</f>
        <v>0</v>
      </c>
      <c r="P31" s="150"/>
      <c r="Q31" s="150"/>
      <c r="R31" s="150"/>
      <c r="S31" s="84"/>
      <c r="T31" s="153" t="s">
        <v>199</v>
      </c>
      <c r="U31" s="154">
        <f>VLDO1*I_LDO1/1000</f>
        <v>0</v>
      </c>
      <c r="V31" s="84"/>
      <c r="W31" s="153" t="s">
        <v>199</v>
      </c>
      <c r="X31" s="154">
        <f>VLDO2*I_LDO2/1000</f>
        <v>0</v>
      </c>
      <c r="Y31" s="84"/>
      <c r="Z31" s="155" t="s">
        <v>201</v>
      </c>
      <c r="AA31" s="156">
        <f>IF(LDO3_in="Vpre",Vpre*I_LDO3/1000,IF(LDO3_in="Boost",Boost*I_LDO3/1000,0))+IF(LDO4_in="Vpre",Vpre*I_LDO4/1000,IF(LDO4_in="Boost",Boost*I_LDO4/1000,0))+(Vpre*Ipre_add)+(Boost*Iboost_add/1000)+Pout_LDO1+Pout_LDO2+Pout_Buck1+Pout_Buck3</f>
        <v>2.0000000000000001E-10</v>
      </c>
      <c r="AB31" s="156"/>
      <c r="AC31" s="157" t="s">
        <v>190</v>
      </c>
      <c r="AD31" s="84"/>
      <c r="AE31" s="126"/>
    </row>
    <row r="32" spans="1:32" ht="13.5" customHeight="1" x14ac:dyDescent="0.25">
      <c r="A32" s="84"/>
      <c r="B32" s="139" t="s">
        <v>20</v>
      </c>
      <c r="C32" s="101">
        <f>0.000001*Vsup*FSW_Vpre*(Ipre+Ipre_add)*2*THS_sw_Vpre/2</f>
        <v>1.8034177947644445E-4</v>
      </c>
      <c r="D32" s="48"/>
      <c r="E32" s="139" t="s">
        <v>34</v>
      </c>
      <c r="F32" s="101">
        <f>ESR_Cin_Vpre/1000*((Ipre+Ipre_add)*SQRT(Duty_Cycle_Vpre*((1-Duty_Cycle_Vpre)+(((1-Duty_Cycle_Vpre)*THS_sw_Vpre*Vpre/(Ipre+Ipre_add)/L_Vpre/1000)^2/12))))^2</f>
        <v>2.8773521433521748E-7</v>
      </c>
      <c r="G32" s="48"/>
      <c r="H32" s="152">
        <f>IF(LS_Igate_Vpre=900,1,IF(LS_Igate_Vpre=520,1.7,IF(LS_Igate_Vpre=260,3.4,6.8)))</f>
        <v>1</v>
      </c>
      <c r="I32" s="48"/>
      <c r="J32" s="84"/>
      <c r="K32" s="144" t="s">
        <v>26</v>
      </c>
      <c r="L32" s="101">
        <f>IF(Iboost_tot=0,0,0.000000001*Boost*FSW_Boost*Iboost_in*2*TLS_sw_Boost/2+0.000001*QLS_Boost*GLS_Boost*FSW_Boost)</f>
        <v>0</v>
      </c>
      <c r="M32" s="48"/>
      <c r="N32" s="139" t="s">
        <v>37</v>
      </c>
      <c r="O32" s="101">
        <f>IF(Iboost_tot=0,0,ESR_Cout_Boost/1000*Iboost_tot/1000*SQRT(ABS(((Duty_Cycle_Boost-1)+(1/3*(Boost*TLS_sw_Boost/(2*Iboost_tot*L_Boost))^2*1/Duty_Cycle_Boost*((Duty_Cycle_Boost-1)/Duty_Cycle_Boost^2)^2)))))</f>
        <v>0</v>
      </c>
      <c r="P32" s="150"/>
      <c r="Q32" s="150"/>
      <c r="R32" s="150"/>
      <c r="S32" s="84"/>
      <c r="T32" s="153" t="s">
        <v>45</v>
      </c>
      <c r="U32" s="101">
        <f>IF(LDO1_in="Boost",(Boost-VLDO1)*I_LDO1/1000,IF(LDO1_in="Vpre",(Vpre-VLDO1)*I_LDO1/1000,(Buck3-VLDO1)*I_LDO1/1000))</f>
        <v>0</v>
      </c>
      <c r="V32" s="84"/>
      <c r="W32" s="153" t="s">
        <v>45</v>
      </c>
      <c r="X32" s="101">
        <f>(Boost-VLDO2)*I_LDO2/1000</f>
        <v>0</v>
      </c>
      <c r="Y32" s="84"/>
      <c r="Z32" s="155" t="s">
        <v>42</v>
      </c>
      <c r="AA32" s="156">
        <f>Pdis_tot_Vpre+Pdis_tot_Boost+Pdis_IC_LDO1+Pdis_IC_LDO2+Pdis_tot_Buck1+Pdis_tot_Buck3+Pdis_Int_IC</f>
        <v>0.14313727586400701</v>
      </c>
      <c r="AB32" s="156"/>
      <c r="AC32" s="157" t="s">
        <v>190</v>
      </c>
      <c r="AD32" s="84"/>
      <c r="AE32" s="126"/>
    </row>
    <row r="33" spans="1:36" ht="13.5" customHeight="1" x14ac:dyDescent="0.25">
      <c r="A33" s="84"/>
      <c r="B33" s="139" t="s">
        <v>23</v>
      </c>
      <c r="C33" s="101">
        <f>(1-Duty_Cycle_Vpre)*(Ipre+Ipre_add)^2*LS_Rdson_Vpre/1000</f>
        <v>4.4344222269418375E-7</v>
      </c>
      <c r="D33" s="48"/>
      <c r="E33" s="139" t="s">
        <v>37</v>
      </c>
      <c r="F33" s="158">
        <f>ESR_Cout_Vpre/1000*(Delta_Il_Vpre/2/SQRT(3))^2</f>
        <v>5.6480536876895812E-4</v>
      </c>
      <c r="G33" s="48"/>
      <c r="H33" s="152">
        <v>1</v>
      </c>
      <c r="I33" s="48"/>
      <c r="J33" s="84"/>
      <c r="K33" s="144" t="s">
        <v>81</v>
      </c>
      <c r="L33" s="101">
        <f>IF(Iboost_tot=0,0,Vdiode_Boost*Iboost_in/1000*(1-Duty_Cycle_Boost))</f>
        <v>0</v>
      </c>
      <c r="M33" s="48"/>
      <c r="N33" s="139" t="s">
        <v>40</v>
      </c>
      <c r="O33" s="101">
        <f>IF(Iboost_tot=0,0,DCR_L_Boost/1000*((Iboost_in/1000)^2+Delta_Il_Boost^2/12))</f>
        <v>0</v>
      </c>
      <c r="P33" s="150"/>
      <c r="Q33" s="150"/>
      <c r="R33" s="150"/>
      <c r="S33" s="84"/>
      <c r="T33" s="159" t="s">
        <v>202</v>
      </c>
      <c r="U33" s="102" t="str">
        <f>IF(Pout_LDO1=0,"-",Pout_LDO1/(Pout_LDO1+Pdis_IC_LDO1))</f>
        <v>-</v>
      </c>
      <c r="V33" s="84"/>
      <c r="W33" s="159" t="s">
        <v>202</v>
      </c>
      <c r="X33" s="102" t="str">
        <f>IF(Pout_LDO2=0,"-",Pout_LDO2/(Pout_LDO2+Pdis_IC_LDO2))</f>
        <v>-</v>
      </c>
      <c r="Y33" s="84"/>
      <c r="Z33" s="160" t="s">
        <v>203</v>
      </c>
      <c r="AA33" s="161">
        <f>SUM(AA11:AA17)</f>
        <v>8.7762500000000007E-2</v>
      </c>
      <c r="AB33" s="162"/>
      <c r="AC33" s="54" t="s">
        <v>190</v>
      </c>
      <c r="AD33" s="84"/>
      <c r="AE33" s="126"/>
    </row>
    <row r="34" spans="1:36" ht="13.5" customHeight="1" x14ac:dyDescent="0.25">
      <c r="A34" s="84"/>
      <c r="B34" s="139" t="s">
        <v>26</v>
      </c>
      <c r="C34" s="101">
        <f>0.000001*0.7*FSW_Vpre*(Ipre+Ipre_add)*2*TLS_sw_Vpre/2</f>
        <v>9.0170889738222218E-6</v>
      </c>
      <c r="D34" s="48"/>
      <c r="E34" s="139" t="s">
        <v>40</v>
      </c>
      <c r="F34" s="101">
        <f>DCR_L_Vpre/1000*((Ipre+Ipre_add)^2+Delta_Il_Vpre^2/12)</f>
        <v>3.5778716299845899E-3</v>
      </c>
      <c r="G34" s="48"/>
      <c r="H34" s="48"/>
      <c r="I34" s="48"/>
      <c r="J34" s="84"/>
      <c r="K34" s="144"/>
      <c r="L34" s="101"/>
      <c r="M34" s="48"/>
      <c r="N34" s="139"/>
      <c r="O34" s="163"/>
      <c r="P34" s="150"/>
      <c r="Q34" s="150"/>
      <c r="R34" s="150"/>
      <c r="S34" s="84"/>
      <c r="T34" s="88"/>
      <c r="U34" s="88"/>
      <c r="V34" s="84"/>
      <c r="W34" s="88"/>
      <c r="X34" s="88"/>
      <c r="Y34" s="84"/>
      <c r="Z34" s="48"/>
      <c r="AA34" s="48"/>
      <c r="AB34" s="164"/>
      <c r="AC34" s="157"/>
      <c r="AD34" s="84"/>
      <c r="AE34" s="49"/>
    </row>
    <row r="35" spans="1:36" ht="13.5" customHeight="1" x14ac:dyDescent="0.25">
      <c r="A35" s="84"/>
      <c r="B35" s="139" t="s">
        <v>29</v>
      </c>
      <c r="C35" s="101">
        <f>0.5*LS_QRR_VPRE*Vsup*FSW_Vpre/1000000</f>
        <v>5.0959999999999998E-2</v>
      </c>
      <c r="D35" s="48"/>
      <c r="E35" s="139" t="s">
        <v>204</v>
      </c>
      <c r="F35" s="101">
        <f>Rshunt/1000*(Ipre_add+Ipre)^2</f>
        <v>6.0865351146599996E-7</v>
      </c>
      <c r="G35" s="48"/>
      <c r="H35" s="48"/>
      <c r="I35" s="48"/>
      <c r="J35" s="84"/>
      <c r="K35" s="144"/>
      <c r="L35" s="101"/>
      <c r="M35" s="48"/>
      <c r="N35" s="139"/>
      <c r="O35" s="163"/>
      <c r="P35" s="150"/>
      <c r="Q35" s="150"/>
      <c r="R35" s="150"/>
      <c r="S35" s="84"/>
      <c r="T35" s="88"/>
      <c r="U35" s="88"/>
      <c r="V35" s="84"/>
      <c r="W35" s="88"/>
      <c r="X35" s="88"/>
      <c r="Y35" s="84"/>
      <c r="Z35" s="48"/>
      <c r="AA35" s="48"/>
      <c r="AB35" s="164"/>
      <c r="AC35" s="157"/>
      <c r="AD35" s="84"/>
      <c r="AE35" s="49"/>
    </row>
    <row r="36" spans="1:36" ht="3.75" customHeight="1" x14ac:dyDescent="0.25">
      <c r="A36" s="84"/>
      <c r="B36" s="139"/>
      <c r="C36" s="48"/>
      <c r="D36" s="48"/>
      <c r="E36" s="139"/>
      <c r="F36" s="165"/>
      <c r="G36" s="48"/>
      <c r="H36" s="48"/>
      <c r="I36" s="48"/>
      <c r="J36" s="84"/>
      <c r="K36" s="144"/>
      <c r="L36" s="48"/>
      <c r="M36" s="48"/>
      <c r="N36" s="139"/>
      <c r="O36" s="166"/>
      <c r="P36" s="150"/>
      <c r="Q36" s="150"/>
      <c r="R36" s="150"/>
      <c r="S36" s="84"/>
      <c r="T36" s="159"/>
      <c r="U36" s="167"/>
      <c r="V36" s="84"/>
      <c r="W36" s="159"/>
      <c r="X36" s="167"/>
      <c r="Y36" s="84"/>
      <c r="Z36" s="48"/>
      <c r="AA36" s="48"/>
      <c r="AB36" s="88"/>
      <c r="AC36" s="88"/>
      <c r="AD36" s="84"/>
      <c r="AE36" s="49"/>
    </row>
    <row r="37" spans="1:36" ht="13.5" customHeight="1" x14ac:dyDescent="0.25">
      <c r="A37" s="84"/>
      <c r="B37" s="139" t="s">
        <v>42</v>
      </c>
      <c r="C37" s="101">
        <f>P_LS_sw_Vpre+P_LS_Cond_Vpre+P_HS_sw_Vpre+P_HS_Cond_Vpre+P_Cin_Vpre+P_Cout_Vpre+P_L_Vpre+Pdis_IC_Vpre+P_R_Shunt+P_Qrr+P_DT</f>
        <v>7.3137275864007006E-2</v>
      </c>
      <c r="D37" s="48"/>
      <c r="E37" s="168" t="s">
        <v>205</v>
      </c>
      <c r="F37" s="120">
        <f>1000*(Vsup-Vpre-HS_Rdson_Vpre*(Ipre+Ipre_add)/1000)*Duty_Cycle_Vpre/FSW_Vpre/L_Vpre</f>
        <v>1.5030706819959705</v>
      </c>
      <c r="G37" s="48"/>
      <c r="H37" s="169" t="str">
        <f>IF((Ipre+Ipre_add)&gt;Delta_Il_Vpre/2,"CCM","DCM")</f>
        <v>DCM</v>
      </c>
      <c r="I37" s="48"/>
      <c r="J37" s="84"/>
      <c r="K37" s="144" t="s">
        <v>42</v>
      </c>
      <c r="L37" s="101">
        <f>P_diode_Boost+P_LS_sw_Boost+P_LS_cond_Boost+P_Cin_Boost+P_Cout_Boost+P_L_Boost</f>
        <v>0</v>
      </c>
      <c r="M37" s="48"/>
      <c r="N37" s="168" t="s">
        <v>205</v>
      </c>
      <c r="O37" s="120">
        <f>IF(Iboost_tot=0,0,1000*(Duty_Cycle_Boost*Vpre)/(L_Boost*FSW_Boost))</f>
        <v>0</v>
      </c>
      <c r="P37" s="150"/>
      <c r="Q37" s="169" t="str">
        <f>IF((Iboost_in/1000)&gt;Delta_Il_Boost/2,"CCM","DCM")</f>
        <v>DCM</v>
      </c>
      <c r="R37" s="150"/>
      <c r="S37" s="84"/>
      <c r="T37" s="88"/>
      <c r="U37" s="88"/>
      <c r="V37" s="84"/>
      <c r="W37" s="88"/>
      <c r="X37" s="88"/>
      <c r="Y37" s="84"/>
      <c r="Z37" s="160" t="s">
        <v>206</v>
      </c>
      <c r="AA37" s="170">
        <f>TJ_max-(AA33*RTH_ja)</f>
        <v>147.36712499999999</v>
      </c>
      <c r="AB37" s="88"/>
      <c r="AC37" s="171" t="s">
        <v>190</v>
      </c>
      <c r="AD37" s="84"/>
      <c r="AE37" s="49"/>
    </row>
    <row r="38" spans="1:36" ht="13.5" customHeight="1" x14ac:dyDescent="0.25">
      <c r="A38" s="84"/>
      <c r="B38" s="139" t="s">
        <v>45</v>
      </c>
      <c r="C38" s="101">
        <f>0.000001*((QHS_Vpre*GHS_Vpre*FSW_Vpre)*(Rpu/(2*(Rpu+Rg))+Rpd/(2*(Rpd+Rg)))+(QLS_VPRE*GLS_Vpre*FSW_Vpre)*(Rpd/(2*(Rpd+Rg))+Rpu/(2*(Rpu+Rg))))</f>
        <v>1.7762500000000001E-2</v>
      </c>
      <c r="D38" s="48"/>
      <c r="E38" s="139" t="s">
        <v>53</v>
      </c>
      <c r="F38" s="120">
        <f>(Ipre+Ipre_add)+Delta_Il_Vpre/2</f>
        <v>0.75790534105798524</v>
      </c>
      <c r="G38" s="48"/>
      <c r="H38" s="88"/>
      <c r="I38" s="88"/>
      <c r="J38" s="84"/>
      <c r="K38" s="144" t="s">
        <v>45</v>
      </c>
      <c r="L38" s="101">
        <f>P_LS_sw_Boost+P_LS_cond_Boost</f>
        <v>0</v>
      </c>
      <c r="M38" s="48"/>
      <c r="N38" s="139" t="s">
        <v>53</v>
      </c>
      <c r="O38" s="120">
        <f>Iboost_in/1000+Delta_Il_Boost/2</f>
        <v>0</v>
      </c>
      <c r="P38" s="150"/>
      <c r="Q38" s="150"/>
      <c r="R38" s="150"/>
      <c r="S38" s="84"/>
      <c r="T38" s="88"/>
      <c r="U38" s="88"/>
      <c r="V38" s="84"/>
      <c r="W38" s="88"/>
      <c r="X38" s="88"/>
      <c r="Y38" s="84"/>
      <c r="Z38" s="172" t="s">
        <v>207</v>
      </c>
      <c r="AA38" s="173">
        <f>AA31/(AA31+AA32)</f>
        <v>1.3972600673954811E-9</v>
      </c>
      <c r="AB38" s="48"/>
      <c r="AC38" s="171" t="s">
        <v>190</v>
      </c>
      <c r="AD38" s="84"/>
      <c r="AE38" s="49"/>
    </row>
    <row r="39" spans="1:36" ht="13.5" customHeight="1" x14ac:dyDescent="0.25">
      <c r="A39" s="84"/>
      <c r="B39" s="174" t="s">
        <v>208</v>
      </c>
      <c r="C39" s="102">
        <f>Pout_Vpre/(Pout_Vpre+Pdis_tot_Vpre)</f>
        <v>0.30337009839406803</v>
      </c>
      <c r="D39" s="48"/>
      <c r="E39" s="139" t="s">
        <v>56</v>
      </c>
      <c r="F39" s="175">
        <f>1000*(Vsup*Duty_Cycle_Vpre*(1-Duty_Cycle_Vpre)/(8*L_Vpre*Cout_Vpre*FSW_Vpre^2)*1000000+ESR_Cout_Vpre/1000*Delta_Il_Vpre)</f>
        <v>12.767842166844892</v>
      </c>
      <c r="G39" s="48"/>
      <c r="H39" s="88"/>
      <c r="I39" s="88"/>
      <c r="J39" s="84"/>
      <c r="K39" s="176" t="s">
        <v>209</v>
      </c>
      <c r="L39" s="102">
        <f>Pout_Boost/(Pout_Boost+Pdis_tot_Boost)</f>
        <v>1</v>
      </c>
      <c r="M39" s="48"/>
      <c r="N39" s="139" t="s">
        <v>56</v>
      </c>
      <c r="O39" s="175">
        <f>1000*(Duty_Cycle_Boost*Iboost_tot/1000)/(FSW_Boost*Cout_Boost/1000)+ESR_Cout_Boost/1000*Delta_Il_Boost</f>
        <v>0</v>
      </c>
      <c r="P39" s="150"/>
      <c r="Q39" s="150"/>
      <c r="R39" s="150"/>
      <c r="S39" s="84"/>
      <c r="T39" s="88"/>
      <c r="U39" s="88"/>
      <c r="V39" s="84"/>
      <c r="W39" s="88"/>
      <c r="X39" s="88"/>
      <c r="Y39" s="84"/>
      <c r="Z39" s="48"/>
      <c r="AA39" s="48"/>
      <c r="AB39" s="48"/>
      <c r="AC39" s="88"/>
      <c r="AD39" s="84"/>
      <c r="AE39" s="50"/>
    </row>
    <row r="40" spans="1:36" ht="3.75" customHeight="1" x14ac:dyDescent="0.25">
      <c r="A40" s="84"/>
      <c r="B40" s="174"/>
      <c r="C40" s="102"/>
      <c r="D40" s="48"/>
      <c r="E40" s="139"/>
      <c r="F40" s="175"/>
      <c r="G40" s="48"/>
      <c r="H40" s="88"/>
      <c r="I40" s="88"/>
      <c r="J40" s="84"/>
      <c r="K40" s="176"/>
      <c r="L40" s="147"/>
      <c r="M40" s="150"/>
      <c r="N40" s="144"/>
      <c r="O40" s="177"/>
      <c r="P40" s="150"/>
      <c r="Q40" s="150"/>
      <c r="R40" s="150"/>
      <c r="S40" s="84"/>
      <c r="T40" s="88"/>
      <c r="U40" s="88"/>
      <c r="V40" s="84"/>
      <c r="W40" s="88"/>
      <c r="X40" s="88"/>
      <c r="Y40" s="84"/>
      <c r="Z40" s="88"/>
      <c r="AA40" s="88"/>
      <c r="AB40" s="88"/>
      <c r="AC40" s="88"/>
      <c r="AD40" s="84"/>
      <c r="AE40" s="50"/>
    </row>
    <row r="41" spans="1:36" ht="3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50"/>
    </row>
    <row r="42" spans="1:36" ht="15" customHeight="1" x14ac:dyDescent="0.25">
      <c r="A42" s="86"/>
      <c r="B42" s="245" t="s">
        <v>210</v>
      </c>
      <c r="C42" s="245"/>
      <c r="D42" s="245"/>
      <c r="E42" s="245"/>
      <c r="F42" s="245"/>
      <c r="G42" s="245"/>
      <c r="H42" s="245"/>
      <c r="I42" s="245"/>
      <c r="J42" s="86"/>
      <c r="K42" s="245" t="s">
        <v>211</v>
      </c>
      <c r="L42" s="245"/>
      <c r="M42" s="245"/>
      <c r="N42" s="245"/>
      <c r="O42" s="245"/>
      <c r="P42" s="245"/>
      <c r="Q42" s="245"/>
      <c r="R42" s="245"/>
      <c r="S42" s="86"/>
      <c r="AB42" s="221"/>
      <c r="AC42" s="88"/>
      <c r="AD42" s="88"/>
      <c r="AE42" s="49"/>
    </row>
    <row r="43" spans="1:36" ht="3.7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AB43" s="222"/>
      <c r="AC43" s="88"/>
      <c r="AD43" s="88"/>
      <c r="AE43" s="49"/>
    </row>
    <row r="44" spans="1:36" ht="13.5" customHeight="1" x14ac:dyDescent="0.25">
      <c r="A44" s="84"/>
      <c r="B44" s="246" t="s">
        <v>212</v>
      </c>
      <c r="C44" s="246"/>
      <c r="D44" s="84"/>
      <c r="E44" s="246" t="s">
        <v>213</v>
      </c>
      <c r="F44" s="246"/>
      <c r="G44" s="84"/>
      <c r="H44" s="246" t="s">
        <v>153</v>
      </c>
      <c r="I44" s="246"/>
      <c r="J44" s="86"/>
      <c r="K44" s="246" t="s">
        <v>212</v>
      </c>
      <c r="L44" s="246"/>
      <c r="M44" s="84"/>
      <c r="N44" s="246" t="s">
        <v>213</v>
      </c>
      <c r="O44" s="246"/>
      <c r="P44" s="84"/>
      <c r="Q44" s="246" t="s">
        <v>153</v>
      </c>
      <c r="R44" s="246"/>
      <c r="S44" s="86"/>
      <c r="AB44" s="221"/>
      <c r="AC44" s="88"/>
      <c r="AD44" s="88"/>
      <c r="AE44" s="49"/>
      <c r="AI44" s="42"/>
      <c r="AJ44" s="42"/>
    </row>
    <row r="45" spans="1:36" ht="13.5" customHeight="1" x14ac:dyDescent="0.25">
      <c r="A45" s="84"/>
      <c r="B45" s="91" t="s">
        <v>158</v>
      </c>
      <c r="C45" s="96">
        <f>Cout_Vpre</f>
        <v>50</v>
      </c>
      <c r="D45" s="84"/>
      <c r="E45" s="48" t="s">
        <v>164</v>
      </c>
      <c r="F45" s="105">
        <v>135</v>
      </c>
      <c r="G45" s="84"/>
      <c r="H45" s="91" t="s">
        <v>136</v>
      </c>
      <c r="I45" s="97">
        <f>Vpre</f>
        <v>5</v>
      </c>
      <c r="J45" s="86"/>
      <c r="K45" s="91" t="s">
        <v>158</v>
      </c>
      <c r="L45" s="96">
        <f>Cout_Vpre</f>
        <v>50</v>
      </c>
      <c r="M45" s="84"/>
      <c r="N45" s="48" t="s">
        <v>164</v>
      </c>
      <c r="O45" s="105">
        <v>135</v>
      </c>
      <c r="P45" s="84"/>
      <c r="Q45" s="91" t="s">
        <v>136</v>
      </c>
      <c r="R45" s="97">
        <f>Vpre</f>
        <v>5</v>
      </c>
      <c r="S45" s="86"/>
      <c r="AB45" s="221"/>
      <c r="AC45" s="88"/>
      <c r="AD45" s="88"/>
      <c r="AE45" s="49"/>
      <c r="AI45" s="42"/>
      <c r="AJ45" s="42"/>
    </row>
    <row r="46" spans="1:36" ht="13.5" customHeight="1" x14ac:dyDescent="0.25">
      <c r="A46" s="84"/>
      <c r="B46" s="91" t="s">
        <v>163</v>
      </c>
      <c r="C46" s="104">
        <f>ESR_Cout_Vpre</f>
        <v>3</v>
      </c>
      <c r="D46" s="84"/>
      <c r="E46" s="48" t="s">
        <v>214</v>
      </c>
      <c r="F46" s="107">
        <v>0.5</v>
      </c>
      <c r="G46" s="84"/>
      <c r="H46" s="91"/>
      <c r="I46" s="97"/>
      <c r="J46" s="86"/>
      <c r="K46" s="91" t="s">
        <v>163</v>
      </c>
      <c r="L46" s="104">
        <f>ESR_Cout_Vpre</f>
        <v>3</v>
      </c>
      <c r="M46" s="84"/>
      <c r="N46" s="48" t="s">
        <v>214</v>
      </c>
      <c r="O46" s="107">
        <v>0.5</v>
      </c>
      <c r="P46" s="84"/>
      <c r="Q46" s="91"/>
      <c r="R46" s="97"/>
      <c r="S46" s="86"/>
      <c r="AB46" s="221"/>
      <c r="AC46" s="48"/>
      <c r="AD46" s="48"/>
      <c r="AE46" s="49"/>
      <c r="AI46" s="42"/>
      <c r="AJ46" s="42"/>
    </row>
    <row r="47" spans="1:36" ht="13.5" customHeight="1" x14ac:dyDescent="0.25">
      <c r="A47" s="84"/>
      <c r="B47" s="91" t="s">
        <v>166</v>
      </c>
      <c r="C47" s="92">
        <v>44</v>
      </c>
      <c r="D47" s="84"/>
      <c r="E47" s="48" t="s">
        <v>184</v>
      </c>
      <c r="F47" s="117">
        <v>5</v>
      </c>
      <c r="G47" s="84"/>
      <c r="H47" s="94" t="s">
        <v>137</v>
      </c>
      <c r="I47" s="95">
        <v>1.8</v>
      </c>
      <c r="J47" s="86"/>
      <c r="K47" s="91" t="s">
        <v>166</v>
      </c>
      <c r="L47" s="92">
        <v>40</v>
      </c>
      <c r="M47" s="84"/>
      <c r="N47" s="48" t="s">
        <v>184</v>
      </c>
      <c r="O47" s="117">
        <v>5</v>
      </c>
      <c r="P47" s="84"/>
      <c r="Q47" s="94" t="s">
        <v>138</v>
      </c>
      <c r="R47" s="95">
        <v>3.3</v>
      </c>
      <c r="S47" s="86"/>
      <c r="AB47" s="221"/>
      <c r="AC47" s="48"/>
      <c r="AD47" s="48"/>
      <c r="AE47" s="49"/>
      <c r="AI47" s="42"/>
      <c r="AJ47" s="42"/>
    </row>
    <row r="48" spans="1:36" ht="13.5" customHeight="1" x14ac:dyDescent="0.25">
      <c r="A48" s="84"/>
      <c r="B48" s="91" t="s">
        <v>171</v>
      </c>
      <c r="C48" s="103">
        <v>10</v>
      </c>
      <c r="D48" s="84"/>
      <c r="E48" s="48" t="s">
        <v>159</v>
      </c>
      <c r="F48" s="93">
        <v>5</v>
      </c>
      <c r="G48" s="84"/>
      <c r="H48" s="48"/>
      <c r="I48" s="48"/>
      <c r="J48" s="86"/>
      <c r="K48" s="91" t="s">
        <v>171</v>
      </c>
      <c r="L48" s="103">
        <v>10</v>
      </c>
      <c r="M48" s="84"/>
      <c r="N48" s="48" t="s">
        <v>159</v>
      </c>
      <c r="O48" s="93">
        <v>5</v>
      </c>
      <c r="P48" s="84"/>
      <c r="Q48" s="48"/>
      <c r="R48" s="48"/>
      <c r="S48" s="86"/>
      <c r="AB48" s="221"/>
      <c r="AC48" s="48"/>
      <c r="AD48" s="48"/>
      <c r="AE48" s="49"/>
      <c r="AI48" s="42"/>
      <c r="AJ48" s="42"/>
    </row>
    <row r="49" spans="1:31" ht="13.5" customHeight="1" x14ac:dyDescent="0.25">
      <c r="A49" s="84"/>
      <c r="B49" s="114" t="s">
        <v>175</v>
      </c>
      <c r="C49" s="115">
        <v>1</v>
      </c>
      <c r="D49" s="84"/>
      <c r="E49" s="48" t="s">
        <v>165</v>
      </c>
      <c r="F49" s="105">
        <v>80</v>
      </c>
      <c r="G49" s="84"/>
      <c r="H49" s="94" t="s">
        <v>215</v>
      </c>
      <c r="I49" s="119">
        <v>0</v>
      </c>
      <c r="J49" s="86"/>
      <c r="K49" s="114" t="s">
        <v>175</v>
      </c>
      <c r="L49" s="115">
        <v>1</v>
      </c>
      <c r="M49" s="84"/>
      <c r="N49" s="48" t="s">
        <v>165</v>
      </c>
      <c r="O49" s="105">
        <v>80</v>
      </c>
      <c r="P49" s="84"/>
      <c r="Q49" s="94" t="s">
        <v>216</v>
      </c>
      <c r="R49" s="119">
        <v>0</v>
      </c>
      <c r="S49" s="86"/>
      <c r="AB49" s="221"/>
      <c r="AC49" s="48"/>
      <c r="AD49" s="48"/>
      <c r="AE49" s="49"/>
    </row>
    <row r="50" spans="1:31" ht="13.5" customHeight="1" x14ac:dyDescent="0.25">
      <c r="A50" s="84"/>
      <c r="B50" s="91" t="s">
        <v>179</v>
      </c>
      <c r="C50" s="103">
        <v>20</v>
      </c>
      <c r="D50" s="84"/>
      <c r="E50" s="48" t="s">
        <v>168</v>
      </c>
      <c r="F50" s="107">
        <v>0.5</v>
      </c>
      <c r="G50" s="84"/>
      <c r="H50" s="91"/>
      <c r="I50" s="132" t="str">
        <f>"( ≤ "&amp;Buck1_Imax&amp;" A )"</f>
        <v>( ≤ 2.5 A )</v>
      </c>
      <c r="J50" s="86"/>
      <c r="K50" s="91" t="s">
        <v>179</v>
      </c>
      <c r="L50" s="103">
        <v>30</v>
      </c>
      <c r="M50" s="84"/>
      <c r="N50" s="48" t="s">
        <v>168</v>
      </c>
      <c r="O50" s="107">
        <v>0.5</v>
      </c>
      <c r="P50" s="84"/>
      <c r="Q50" s="94" t="s">
        <v>217</v>
      </c>
      <c r="R50" s="178">
        <f>Ibuck3+IF(LDO1_in="Buck3",I_LDO1/1000,0)+IF(LDO3_in="Buck3",I_LDO3/1000,0)+IF(LDO4_in="Buck3",I_LDO4/1000,0)</f>
        <v>0</v>
      </c>
      <c r="S50" s="86"/>
      <c r="AB50" s="221"/>
      <c r="AC50" s="48"/>
      <c r="AD50" s="48"/>
      <c r="AE50" s="49"/>
    </row>
    <row r="51" spans="1:31" ht="13.5" customHeight="1" x14ac:dyDescent="0.25">
      <c r="A51" s="84"/>
      <c r="B51" s="91"/>
      <c r="C51" s="127"/>
      <c r="D51" s="84"/>
      <c r="E51" s="48" t="s">
        <v>178</v>
      </c>
      <c r="F51" s="117">
        <v>5</v>
      </c>
      <c r="G51" s="84"/>
      <c r="H51" s="48"/>
      <c r="I51" s="48"/>
      <c r="J51" s="86"/>
      <c r="K51" s="91"/>
      <c r="L51" s="127"/>
      <c r="M51" s="84"/>
      <c r="N51" s="48" t="s">
        <v>178</v>
      </c>
      <c r="O51" s="117">
        <v>5</v>
      </c>
      <c r="P51" s="84"/>
      <c r="Q51" s="48"/>
      <c r="R51" s="132" t="str">
        <f>"( ≤ "&amp;Buck3_Imax&amp;" A )"</f>
        <v>( ≤ 2.5 A )</v>
      </c>
      <c r="S51" s="86"/>
      <c r="AB51" s="221"/>
    </row>
    <row r="52" spans="1:31" ht="13.5" customHeight="1" x14ac:dyDescent="0.25">
      <c r="A52" s="84"/>
      <c r="B52" s="91"/>
      <c r="C52" s="127"/>
      <c r="D52" s="84"/>
      <c r="E52" s="48" t="s">
        <v>161</v>
      </c>
      <c r="F52" s="93">
        <v>5</v>
      </c>
      <c r="G52" s="84"/>
      <c r="H52" s="94" t="s">
        <v>192</v>
      </c>
      <c r="I52" s="135">
        <v>2220</v>
      </c>
      <c r="J52" s="86"/>
      <c r="K52" s="91"/>
      <c r="L52" s="127"/>
      <c r="M52" s="84"/>
      <c r="N52" s="48" t="s">
        <v>161</v>
      </c>
      <c r="O52" s="93">
        <v>5</v>
      </c>
      <c r="P52" s="84"/>
      <c r="Q52" s="94" t="s">
        <v>192</v>
      </c>
      <c r="R52" s="135">
        <v>2220</v>
      </c>
      <c r="S52" s="86"/>
      <c r="AB52" s="223"/>
    </row>
    <row r="53" spans="1:31" ht="3.75" customHeight="1" x14ac:dyDescent="0.25">
      <c r="A53" s="84"/>
      <c r="B53" s="91"/>
      <c r="C53" s="127"/>
      <c r="D53" s="84"/>
      <c r="E53" s="48"/>
      <c r="F53" s="117"/>
      <c r="G53" s="84"/>
      <c r="H53" s="91"/>
      <c r="I53" s="137"/>
      <c r="J53" s="86"/>
      <c r="K53" s="91"/>
      <c r="L53" s="127"/>
      <c r="M53" s="84"/>
      <c r="N53" s="48"/>
      <c r="O53" s="117"/>
      <c r="P53" s="84"/>
      <c r="Q53" s="91"/>
      <c r="R53" s="137"/>
      <c r="S53" s="86"/>
      <c r="AB53" s="223"/>
    </row>
    <row r="54" spans="1:31" ht="3.75" customHeight="1" x14ac:dyDescent="0.25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AB54" s="224"/>
    </row>
    <row r="55" spans="1:31" ht="13.5" customHeight="1" x14ac:dyDescent="0.25">
      <c r="A55" s="84"/>
      <c r="B55" s="139"/>
      <c r="C55" s="140"/>
      <c r="D55" s="88"/>
      <c r="E55" s="139" t="s">
        <v>200</v>
      </c>
      <c r="F55" s="102">
        <f>(Buck1+Ibuck1*LS_Rdson_Buck1/1000)/(Vpre-Ibuck1*HS_Rdson_Buck1/1000+Ibuck1*LS_Rdson_Buck1/1000)</f>
        <v>0.36</v>
      </c>
      <c r="G55" s="88"/>
      <c r="H55" s="139" t="s">
        <v>199</v>
      </c>
      <c r="I55" s="142">
        <f>IF(Ibuck1=0,0.0000000001,Buck1*Ibuck1)</f>
        <v>1E-10</v>
      </c>
      <c r="J55" s="143"/>
      <c r="K55" s="139"/>
      <c r="L55" s="140"/>
      <c r="M55" s="88"/>
      <c r="N55" s="139" t="s">
        <v>200</v>
      </c>
      <c r="O55" s="102">
        <f>IF(Vpre=Buck3,1,(Buck3+Ibuck3_tot*LS_Rdson_Buck3/1000)/(Vpre-Ibuck3_tot*HS_Rdson_Buck3/1000+Ibuck3_tot*LS_Rdson_Buck3/1000))</f>
        <v>0.65999999999999992</v>
      </c>
      <c r="P55" s="88"/>
      <c r="Q55" s="139" t="s">
        <v>199</v>
      </c>
      <c r="R55" s="142">
        <f>IF(Ibuck3_tot=0,0.0000000001,Buck3*Ibuck3_tot)</f>
        <v>1E-10</v>
      </c>
      <c r="S55" s="143"/>
      <c r="AB55" s="225"/>
    </row>
    <row r="56" spans="1:31" ht="3.75" customHeight="1" x14ac:dyDescent="0.25">
      <c r="A56" s="84"/>
      <c r="B56" s="48"/>
      <c r="C56" s="48"/>
      <c r="D56" s="48"/>
      <c r="E56" s="48"/>
      <c r="F56" s="48"/>
      <c r="G56" s="48"/>
      <c r="H56" s="48"/>
      <c r="I56" s="48"/>
      <c r="J56" s="84"/>
      <c r="K56" s="48"/>
      <c r="L56" s="48"/>
      <c r="M56" s="48"/>
      <c r="N56" s="48"/>
      <c r="O56" s="48"/>
      <c r="P56" s="48"/>
      <c r="Q56" s="48"/>
      <c r="R56" s="48"/>
      <c r="S56" s="84"/>
      <c r="AB56" s="224"/>
    </row>
    <row r="57" spans="1:31" ht="13.5" customHeight="1" x14ac:dyDescent="0.25">
      <c r="A57" s="84"/>
      <c r="B57" s="139" t="s">
        <v>17</v>
      </c>
      <c r="C57" s="101">
        <f>IF(Ibuck1=0,0,Duty_Cycle_Buck1*Ibuck1^2*HS_Rdson_Buck1/1000)</f>
        <v>0</v>
      </c>
      <c r="D57" s="48"/>
      <c r="E57" s="139" t="s">
        <v>34</v>
      </c>
      <c r="F57" s="101">
        <f>IF(Ibuck1=0,0,ESR_Cin_Buck1/1000*(Ibuck1*SQRT(Duty_Cycle_Buck1*((1-Duty_Cycle_Buck1)+(((1-Duty_Cycle_Buck1)*THS_sw_Buck1*Buck1/Ibuck1/L_Buck1/1000)^2/12))))^2)</f>
        <v>0</v>
      </c>
      <c r="G57" s="48"/>
      <c r="H57" s="48"/>
      <c r="I57" s="48"/>
      <c r="J57" s="84"/>
      <c r="K57" s="139" t="s">
        <v>17</v>
      </c>
      <c r="L57" s="101">
        <f>IF(Ibuck3_tot=0,0,Duty_Cycle_Buck3*Ibuck3_tot^2*HS_Rdson_Buck3/1000)</f>
        <v>0</v>
      </c>
      <c r="M57" s="48"/>
      <c r="N57" s="139" t="s">
        <v>34</v>
      </c>
      <c r="O57" s="101">
        <f>IF(Ibuck3_tot=0,0,ESR_Cin_Buck3/1000*(Ibuck3_tot*SQRT(Duty_Cycle_Buck3*((1-Duty_Cycle_Buck3)+(((1-Duty_Cycle_Buck3)*THS_sw_Buck3*Buck3/Ibuck3_tot/L_Buck3/1000)^2/12))))^2)</f>
        <v>0</v>
      </c>
      <c r="P57" s="48"/>
      <c r="Q57" s="48"/>
      <c r="R57" s="48"/>
      <c r="S57" s="84"/>
      <c r="AB57" s="224"/>
    </row>
    <row r="58" spans="1:31" ht="13.5" customHeight="1" x14ac:dyDescent="0.25">
      <c r="A58" s="84"/>
      <c r="B58" s="139" t="s">
        <v>20</v>
      </c>
      <c r="C58" s="101">
        <f>IF(Ibuck1=0,0,0.000001*Vpre*FSW_Buck1*Ibuck1*2*THS_sw_Buck1/2+0.000001*QHS_Buck1*GHS_Buck1*FSW_Buck1)</f>
        <v>0</v>
      </c>
      <c r="D58" s="48"/>
      <c r="E58" s="139" t="s">
        <v>37</v>
      </c>
      <c r="F58" s="158">
        <f>IF(Ibuck1=0,0,ESR_Cout_Buck1/1000*(Delta_Il_Buck1/2/SQRT(3))^2)</f>
        <v>0</v>
      </c>
      <c r="G58" s="48"/>
      <c r="H58" s="179"/>
      <c r="I58" s="48"/>
      <c r="J58" s="84"/>
      <c r="K58" s="139" t="s">
        <v>20</v>
      </c>
      <c r="L58" s="101">
        <f>IF(Ibuck3_tot=0,0,0.000001*Vpre*FSW_Buck3*Ibuck3_tot*2*THS_sw_Buck3/2+0.000001*QHS_Buck3*GHS_Buck3*FSW_Buck3)</f>
        <v>0</v>
      </c>
      <c r="M58" s="48"/>
      <c r="N58" s="139" t="s">
        <v>37</v>
      </c>
      <c r="O58" s="158">
        <f>IF(Ibuck3_tot=0,0,ESR_Cout_Buck3/1000*(Delta_IL_Buck3/2/SQRT(3))^2)</f>
        <v>0</v>
      </c>
      <c r="P58" s="48"/>
      <c r="Q58" s="48"/>
      <c r="R58" s="48"/>
      <c r="S58" s="84"/>
      <c r="AB58" s="224"/>
    </row>
    <row r="59" spans="1:31" ht="13.5" customHeight="1" x14ac:dyDescent="0.25">
      <c r="A59" s="84"/>
      <c r="B59" s="139" t="s">
        <v>23</v>
      </c>
      <c r="C59" s="101">
        <f>IF(Ibuck1=0,0,(1-Duty_Cycle_Buck1)*Ibuck1^2*LS_Rdson_Buck1/1000)</f>
        <v>0</v>
      </c>
      <c r="D59" s="48"/>
      <c r="E59" s="139" t="s">
        <v>40</v>
      </c>
      <c r="F59" s="101">
        <f>IF(Ibuck1=0,0,DCR_L_Buck1/1000*(Ibuck1^2+Delta_Il_Buck1^2/12))</f>
        <v>0</v>
      </c>
      <c r="G59" s="48"/>
      <c r="H59" s="48"/>
      <c r="I59" s="48"/>
      <c r="J59" s="84"/>
      <c r="K59" s="139" t="s">
        <v>23</v>
      </c>
      <c r="L59" s="101">
        <f>IF(Ibuck3_tot=0,0,(1-Duty_Cycle_Buck3)*Ibuck3_tot^2*LS_Rdson_Buck3/1000)</f>
        <v>0</v>
      </c>
      <c r="M59" s="48"/>
      <c r="N59" s="139" t="s">
        <v>40</v>
      </c>
      <c r="O59" s="101">
        <f>IF(Ibuck3_tot=0,0,DCR_L_Buck3/1000*(Ibuck3_tot^2+Delta_IL_Buck3^2/12))</f>
        <v>0</v>
      </c>
      <c r="P59" s="48"/>
      <c r="Q59" s="48"/>
      <c r="R59" s="48"/>
      <c r="S59" s="84"/>
      <c r="AB59" s="224"/>
    </row>
    <row r="60" spans="1:31" ht="13.5" customHeight="1" x14ac:dyDescent="0.25">
      <c r="A60" s="84"/>
      <c r="B60" s="139" t="s">
        <v>26</v>
      </c>
      <c r="C60" s="101">
        <f>IF(Ibuck1=0,0,0.000001*0.7*FSW_Buck1*Ibuck1*2*TLS_sw_Buck1/2+0.000001*QLS_Buck1*GLS_Buck1*FSW_Buck1)</f>
        <v>0</v>
      </c>
      <c r="D60" s="48"/>
      <c r="E60" s="139"/>
      <c r="F60" s="180"/>
      <c r="G60" s="48"/>
      <c r="H60" s="48"/>
      <c r="I60" s="48"/>
      <c r="J60" s="84"/>
      <c r="K60" s="139" t="s">
        <v>26</v>
      </c>
      <c r="L60" s="101">
        <f>IF(Ibuck3_tot=0,0,0.000001*0.7*FSW_Buck3*Ibuck3_tot*2*TLS_sw_Buck3/2+0.000001*QLS_Buck3*GLS_Buck3*FSW_Buck3)</f>
        <v>0</v>
      </c>
      <c r="M60" s="48"/>
      <c r="N60" s="139"/>
      <c r="O60" s="180"/>
      <c r="P60" s="48"/>
      <c r="Q60" s="48"/>
      <c r="R60" s="48"/>
      <c r="S60" s="84"/>
      <c r="AB60" s="224"/>
    </row>
    <row r="61" spans="1:31" ht="3.75" customHeight="1" x14ac:dyDescent="0.25">
      <c r="A61" s="84"/>
      <c r="B61" s="139"/>
      <c r="C61" s="48"/>
      <c r="D61" s="48"/>
      <c r="E61" s="139"/>
      <c r="F61" s="165"/>
      <c r="G61" s="48"/>
      <c r="H61" s="48"/>
      <c r="I61" s="48"/>
      <c r="J61" s="84"/>
      <c r="K61" s="139"/>
      <c r="L61" s="48"/>
      <c r="M61" s="48"/>
      <c r="N61" s="139"/>
      <c r="O61" s="165"/>
      <c r="P61" s="48"/>
      <c r="Q61" s="48"/>
      <c r="R61" s="48"/>
      <c r="S61" s="84"/>
      <c r="AB61" s="224"/>
    </row>
    <row r="62" spans="1:31" ht="13.5" customHeight="1" x14ac:dyDescent="0.25">
      <c r="A62" s="84"/>
      <c r="B62" s="139" t="s">
        <v>42</v>
      </c>
      <c r="C62" s="101">
        <f>P_LS_sw_Buck1+P_LS_Cond_Buck1+P_HS_sw_Buck1+P_HS_Cond_Buck1+P_Cin_Buck1+P_Cout_Buck1+P_L_Buck1</f>
        <v>0</v>
      </c>
      <c r="D62" s="48"/>
      <c r="E62" s="168" t="s">
        <v>205</v>
      </c>
      <c r="F62" s="120">
        <f>1000*(Vpre-Buck1-HS_Rdson_Buck1*Ibuck1/1000)*Duty_Cycle_Buck1/FSW_Buck1/L_Buck1</f>
        <v>0.51891891891891895</v>
      </c>
      <c r="G62" s="48"/>
      <c r="H62" s="169" t="str">
        <f>IF(Ibuck1&gt;Delta_Il_Buck1/2,"CCM","DCM")</f>
        <v>DCM</v>
      </c>
      <c r="I62" s="48"/>
      <c r="J62" s="84"/>
      <c r="K62" s="139" t="s">
        <v>42</v>
      </c>
      <c r="L62" s="101">
        <f>P_LS_sw_Buck3+P_LS_cond_Buck3+P_HS_sw_Buck3+P_HS_cond_Buck3+P_Cin_Buck3+P_Cout_Buck3+P_L_Buck3</f>
        <v>0</v>
      </c>
      <c r="M62" s="48"/>
      <c r="N62" s="168" t="s">
        <v>205</v>
      </c>
      <c r="O62" s="120">
        <f>IF(Ibuck3_tot=0,0,1000*(Vpre-Buck3-HS_Rdson_Buck3*Ibuck3_tot/1000)*Duty_Cycle_Buck3/FSW_Buck3/L_Buck3)</f>
        <v>0</v>
      </c>
      <c r="P62" s="48"/>
      <c r="Q62" s="169" t="str">
        <f>IF(Ibuck3_tot&gt;Delta_IL_Buck3/2,"CCM","DCM")</f>
        <v>DCM</v>
      </c>
      <c r="R62" s="48"/>
      <c r="S62" s="84"/>
      <c r="AB62" s="224"/>
    </row>
    <row r="63" spans="1:31" ht="13.5" customHeight="1" x14ac:dyDescent="0.25">
      <c r="A63" s="84"/>
      <c r="B63" s="139" t="s">
        <v>45</v>
      </c>
      <c r="C63" s="101">
        <f>P_LS_sw_Buck1+P_LS_Cond_Buck1+P_HS_sw_Buck1+P_HS_Cond_Buck1</f>
        <v>0</v>
      </c>
      <c r="D63" s="48"/>
      <c r="E63" s="139" t="s">
        <v>53</v>
      </c>
      <c r="F63" s="120">
        <f>(Ibuck1)+Delta_Il_Buck1/2</f>
        <v>0.25945945945945947</v>
      </c>
      <c r="G63" s="48"/>
      <c r="H63" s="48"/>
      <c r="I63" s="48"/>
      <c r="J63" s="84"/>
      <c r="K63" s="139" t="s">
        <v>45</v>
      </c>
      <c r="L63" s="101">
        <f>P_LS_sw_Buck3+P_LS_cond_Buck3+P_HS_sw_Buck3+P_HS_cond_Buck3</f>
        <v>0</v>
      </c>
      <c r="M63" s="48"/>
      <c r="N63" s="139" t="s">
        <v>53</v>
      </c>
      <c r="O63" s="120">
        <f>(Ibuck3_tot)+Delta_IL_Buck3/2</f>
        <v>0</v>
      </c>
      <c r="P63" s="48"/>
      <c r="Q63" s="48"/>
      <c r="R63" s="48"/>
      <c r="S63" s="84"/>
      <c r="AB63" s="224"/>
    </row>
    <row r="64" spans="1:31" ht="13.5" customHeight="1" x14ac:dyDescent="0.25">
      <c r="A64" s="84"/>
      <c r="B64" s="174" t="s">
        <v>218</v>
      </c>
      <c r="C64" s="102">
        <f>Pout_Buck1/(Pout_Buck1+Pdis_tot_Buck1)</f>
        <v>1</v>
      </c>
      <c r="D64" s="48"/>
      <c r="E64" s="139" t="s">
        <v>56</v>
      </c>
      <c r="F64" s="175">
        <f>1000*(Vpre*Duty_Cycle_Buck1*(1-Duty_Cycle_Buck1)/(8*L_Buck1*Cout_Buck1*FSW_Buck1^2)*1000000+ESR_Cout_Buck1/1000*Delta_Il_Buck1)</f>
        <v>5.8532439072979621</v>
      </c>
      <c r="G64" s="48"/>
      <c r="H64" s="48"/>
      <c r="I64" s="48"/>
      <c r="J64" s="84"/>
      <c r="K64" s="174" t="s">
        <v>219</v>
      </c>
      <c r="L64" s="102">
        <f>Pout_Buck3/(Pout_Buck3+Pdis_tot_Buck3)</f>
        <v>1</v>
      </c>
      <c r="M64" s="48"/>
      <c r="N64" s="139" t="s">
        <v>56</v>
      </c>
      <c r="O64" s="175">
        <f>IF(Ibuck3_tot=0,0,1000*(Vpre*Duty_Cycle_Buck3*(1-Duty_Cycle_Buck3)/(8*L_Buck3*Cout_Buck3*FSW_Buck3^2)*1000000+ESR_Cout_Buck3/1000*Delta_IL_Buck3))</f>
        <v>0</v>
      </c>
      <c r="P64" s="48"/>
      <c r="Q64" s="48"/>
      <c r="R64" s="48"/>
      <c r="S64" s="84"/>
      <c r="AB64" s="224"/>
    </row>
    <row r="65" spans="1:28" ht="3.75" customHeight="1" x14ac:dyDescent="0.25">
      <c r="A65" s="84"/>
      <c r="B65" s="174"/>
      <c r="C65" s="102"/>
      <c r="D65" s="48"/>
      <c r="E65" s="139"/>
      <c r="F65" s="175"/>
      <c r="G65" s="48"/>
      <c r="H65" s="48"/>
      <c r="I65" s="48"/>
      <c r="J65" s="84"/>
      <c r="K65" s="174"/>
      <c r="L65" s="102"/>
      <c r="M65" s="48"/>
      <c r="N65" s="139"/>
      <c r="O65" s="175"/>
      <c r="P65" s="48"/>
      <c r="Q65" s="48"/>
      <c r="R65" s="48"/>
      <c r="S65" s="84"/>
      <c r="T65" s="174"/>
      <c r="U65" s="102"/>
      <c r="V65" s="48"/>
      <c r="W65" s="139"/>
      <c r="X65" s="175"/>
      <c r="Y65" s="48"/>
      <c r="Z65" s="48"/>
      <c r="AA65" s="48"/>
      <c r="AB65" s="224"/>
    </row>
    <row r="66" spans="1:28" ht="3.75" customHeight="1" x14ac:dyDescent="0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222"/>
      <c r="U66" s="222"/>
      <c r="V66" s="222"/>
      <c r="W66" s="222"/>
      <c r="X66" s="222"/>
      <c r="Y66" s="222"/>
      <c r="Z66" s="222"/>
      <c r="AA66" s="222"/>
      <c r="AB66" s="224"/>
    </row>
    <row r="67" spans="1:28" ht="3.75" customHeight="1" x14ac:dyDescent="0.25">
      <c r="AB67" s="226"/>
    </row>
    <row r="125" spans="2:3" ht="12.75" hidden="1" customHeight="1" x14ac:dyDescent="0.25">
      <c r="B125" s="243" t="s">
        <v>220</v>
      </c>
      <c r="C125" s="181">
        <v>455</v>
      </c>
    </row>
    <row r="126" spans="2:3" hidden="1" x14ac:dyDescent="0.25">
      <c r="B126" s="243"/>
      <c r="C126" s="181">
        <v>2220</v>
      </c>
    </row>
    <row r="127" spans="2:3" ht="12.75" hidden="1" customHeight="1" x14ac:dyDescent="0.25">
      <c r="B127" s="243" t="s">
        <v>221</v>
      </c>
      <c r="C127" s="181">
        <v>3.3</v>
      </c>
    </row>
    <row r="128" spans="2:3" hidden="1" x14ac:dyDescent="0.25">
      <c r="B128" s="243"/>
      <c r="C128" s="181">
        <v>3.8</v>
      </c>
    </row>
    <row r="129" spans="2:3" hidden="1" x14ac:dyDescent="0.25">
      <c r="B129" s="243"/>
      <c r="C129" s="181">
        <v>4.0999999999999996</v>
      </c>
    </row>
    <row r="130" spans="2:3" hidden="1" x14ac:dyDescent="0.25">
      <c r="B130" s="243"/>
      <c r="C130" s="181">
        <v>5</v>
      </c>
    </row>
    <row r="131" spans="2:3" ht="12.75" hidden="1" customHeight="1" x14ac:dyDescent="0.25">
      <c r="B131" s="243" t="s">
        <v>222</v>
      </c>
      <c r="C131" s="181">
        <v>130</v>
      </c>
    </row>
    <row r="132" spans="2:3" hidden="1" x14ac:dyDescent="0.25">
      <c r="B132" s="243"/>
      <c r="C132" s="181">
        <v>260</v>
      </c>
    </row>
    <row r="133" spans="2:3" hidden="1" x14ac:dyDescent="0.25">
      <c r="B133" s="243"/>
      <c r="C133" s="181">
        <v>520</v>
      </c>
    </row>
    <row r="134" spans="2:3" hidden="1" x14ac:dyDescent="0.25">
      <c r="B134" s="243"/>
      <c r="C134" s="182">
        <v>900</v>
      </c>
    </row>
    <row r="135" spans="2:3" ht="12.75" hidden="1" customHeight="1" x14ac:dyDescent="0.25">
      <c r="B135" s="242" t="s">
        <v>223</v>
      </c>
      <c r="C135" s="181">
        <v>5</v>
      </c>
    </row>
    <row r="136" spans="2:3" hidden="1" x14ac:dyDescent="0.25">
      <c r="B136" s="242"/>
      <c r="C136" s="181">
        <v>5.74</v>
      </c>
    </row>
    <row r="137" spans="2:3" ht="12.75" hidden="1" customHeight="1" x14ac:dyDescent="0.25">
      <c r="B137" s="244" t="s">
        <v>224</v>
      </c>
      <c r="C137" s="181">
        <v>300</v>
      </c>
    </row>
    <row r="138" spans="2:3" hidden="1" x14ac:dyDescent="0.25">
      <c r="B138" s="244"/>
      <c r="C138" s="181">
        <v>500</v>
      </c>
    </row>
    <row r="139" spans="2:3" hidden="1" x14ac:dyDescent="0.25">
      <c r="B139" s="241" t="s">
        <v>225</v>
      </c>
      <c r="C139" s="181" t="s">
        <v>136</v>
      </c>
    </row>
    <row r="140" spans="2:3" hidden="1" x14ac:dyDescent="0.25">
      <c r="B140" s="241"/>
      <c r="C140" s="181" t="s">
        <v>141</v>
      </c>
    </row>
    <row r="141" spans="2:3" hidden="1" x14ac:dyDescent="0.25">
      <c r="B141" s="241"/>
      <c r="C141" s="181" t="s">
        <v>138</v>
      </c>
    </row>
    <row r="142" spans="2:3" ht="12.75" hidden="1" customHeight="1" x14ac:dyDescent="0.25">
      <c r="B142" s="242" t="s">
        <v>226</v>
      </c>
      <c r="C142" s="181">
        <v>1.1000000000000001</v>
      </c>
    </row>
    <row r="143" spans="2:3" hidden="1" x14ac:dyDescent="0.25">
      <c r="B143" s="242"/>
      <c r="C143" s="181">
        <v>1.2</v>
      </c>
    </row>
    <row r="144" spans="2:3" hidden="1" x14ac:dyDescent="0.25">
      <c r="B144" s="242"/>
      <c r="C144" s="181">
        <v>1.6</v>
      </c>
    </row>
    <row r="145" spans="2:3" hidden="1" x14ac:dyDescent="0.25">
      <c r="B145" s="242"/>
      <c r="C145" s="181">
        <v>1.8</v>
      </c>
    </row>
    <row r="146" spans="2:3" hidden="1" x14ac:dyDescent="0.25">
      <c r="B146" s="242"/>
      <c r="C146" s="181">
        <v>2.5</v>
      </c>
    </row>
    <row r="147" spans="2:3" hidden="1" x14ac:dyDescent="0.25">
      <c r="B147" s="242"/>
      <c r="C147" s="181">
        <v>2.8</v>
      </c>
    </row>
    <row r="148" spans="2:3" hidden="1" x14ac:dyDescent="0.25">
      <c r="B148" s="242"/>
      <c r="C148" s="181">
        <v>3.3</v>
      </c>
    </row>
    <row r="149" spans="2:3" hidden="1" x14ac:dyDescent="0.25">
      <c r="B149" s="242"/>
      <c r="C149" s="181">
        <v>5</v>
      </c>
    </row>
    <row r="150" spans="2:3" ht="12.75" hidden="1" customHeight="1" x14ac:dyDescent="0.25">
      <c r="B150" s="242" t="s">
        <v>227</v>
      </c>
      <c r="C150" s="181">
        <v>0.8</v>
      </c>
    </row>
    <row r="151" spans="2:3" ht="12.75" hidden="1" customHeight="1" x14ac:dyDescent="0.25">
      <c r="B151" s="242"/>
      <c r="C151" s="219">
        <v>0.82499999999999996</v>
      </c>
    </row>
    <row r="152" spans="2:3" hidden="1" x14ac:dyDescent="0.25">
      <c r="B152" s="242"/>
      <c r="C152" s="181">
        <v>0.9</v>
      </c>
    </row>
    <row r="153" spans="2:3" hidden="1" x14ac:dyDescent="0.25">
      <c r="B153" s="242"/>
      <c r="C153" s="219">
        <v>0.95</v>
      </c>
    </row>
    <row r="154" spans="2:3" hidden="1" x14ac:dyDescent="0.25">
      <c r="B154" s="242"/>
      <c r="C154" s="219">
        <v>0.97499999999999998</v>
      </c>
    </row>
    <row r="155" spans="2:3" hidden="1" x14ac:dyDescent="0.25">
      <c r="B155" s="242"/>
      <c r="C155" s="181">
        <v>1</v>
      </c>
    </row>
    <row r="156" spans="2:3" hidden="1" x14ac:dyDescent="0.25">
      <c r="B156" s="242"/>
      <c r="C156" s="181">
        <v>1.0249999999999999</v>
      </c>
    </row>
    <row r="157" spans="2:3" hidden="1" x14ac:dyDescent="0.25">
      <c r="B157" s="242"/>
      <c r="C157" s="181">
        <v>1.03125</v>
      </c>
    </row>
    <row r="158" spans="2:3" hidden="1" x14ac:dyDescent="0.25">
      <c r="B158" s="242"/>
      <c r="C158" s="219">
        <v>1.075</v>
      </c>
    </row>
    <row r="159" spans="2:3" hidden="1" x14ac:dyDescent="0.25">
      <c r="B159" s="242"/>
      <c r="C159" s="236">
        <v>1.0874999999999999</v>
      </c>
    </row>
    <row r="160" spans="2:3" hidden="1" x14ac:dyDescent="0.25">
      <c r="B160" s="242"/>
      <c r="C160" s="236">
        <v>1.09375</v>
      </c>
    </row>
    <row r="161" spans="2:3" hidden="1" x14ac:dyDescent="0.25">
      <c r="B161" s="242"/>
      <c r="C161" s="181">
        <v>1.1000000000000001</v>
      </c>
    </row>
    <row r="162" spans="2:3" hidden="1" x14ac:dyDescent="0.25">
      <c r="B162" s="242"/>
      <c r="C162" s="236">
        <v>1.1187499999999999</v>
      </c>
    </row>
    <row r="163" spans="2:3" hidden="1" x14ac:dyDescent="0.25">
      <c r="B163" s="242"/>
      <c r="C163" s="219">
        <v>1.1375</v>
      </c>
    </row>
    <row r="164" spans="2:3" hidden="1" x14ac:dyDescent="0.25">
      <c r="B164" s="242"/>
      <c r="C164" s="181">
        <v>1.2</v>
      </c>
    </row>
    <row r="165" spans="2:3" hidden="1" x14ac:dyDescent="0.25">
      <c r="B165" s="242"/>
      <c r="C165" s="181">
        <v>1.25</v>
      </c>
    </row>
    <row r="166" spans="2:3" hidden="1" x14ac:dyDescent="0.25">
      <c r="B166" s="242"/>
      <c r="C166" s="181">
        <v>1.3</v>
      </c>
    </row>
    <row r="167" spans="2:3" hidden="1" x14ac:dyDescent="0.25">
      <c r="B167" s="242"/>
      <c r="C167" s="181">
        <v>1.35</v>
      </c>
    </row>
    <row r="168" spans="2:3" hidden="1" x14ac:dyDescent="0.25">
      <c r="B168" s="242"/>
      <c r="C168" s="181">
        <v>1.4</v>
      </c>
    </row>
    <row r="169" spans="2:3" hidden="1" x14ac:dyDescent="0.25">
      <c r="B169" s="242"/>
      <c r="C169" s="181">
        <v>1.5</v>
      </c>
    </row>
    <row r="170" spans="2:3" hidden="1" x14ac:dyDescent="0.25">
      <c r="B170" s="242"/>
      <c r="C170" s="181">
        <v>1.8</v>
      </c>
    </row>
    <row r="171" spans="2:3" ht="12.75" hidden="1" customHeight="1" x14ac:dyDescent="0.25">
      <c r="B171" s="243" t="s">
        <v>228</v>
      </c>
      <c r="C171" s="182">
        <v>1</v>
      </c>
    </row>
    <row r="172" spans="2:3" hidden="1" x14ac:dyDescent="0.25">
      <c r="B172" s="243"/>
      <c r="C172" s="182">
        <v>1.1000000000000001</v>
      </c>
    </row>
    <row r="173" spans="2:3" hidden="1" x14ac:dyDescent="0.25">
      <c r="B173" s="243"/>
      <c r="C173" s="182">
        <v>1.2</v>
      </c>
    </row>
    <row r="174" spans="2:3" hidden="1" x14ac:dyDescent="0.25">
      <c r="B174" s="243"/>
      <c r="C174" s="182">
        <v>1.25</v>
      </c>
    </row>
    <row r="175" spans="2:3" hidden="1" x14ac:dyDescent="0.25">
      <c r="B175" s="243"/>
      <c r="C175" s="182">
        <v>1.3</v>
      </c>
    </row>
    <row r="176" spans="2:3" hidden="1" x14ac:dyDescent="0.25">
      <c r="B176" s="243"/>
      <c r="C176" s="182">
        <v>1.35</v>
      </c>
    </row>
    <row r="177" spans="2:3" hidden="1" x14ac:dyDescent="0.25">
      <c r="B177" s="243"/>
      <c r="C177" s="182">
        <v>1.5</v>
      </c>
    </row>
    <row r="178" spans="2:3" hidden="1" x14ac:dyDescent="0.25">
      <c r="B178" s="243"/>
      <c r="C178" s="182">
        <v>1.6</v>
      </c>
    </row>
    <row r="179" spans="2:3" hidden="1" x14ac:dyDescent="0.25">
      <c r="B179" s="243"/>
      <c r="C179" s="182">
        <v>1.8</v>
      </c>
    </row>
    <row r="180" spans="2:3" hidden="1" x14ac:dyDescent="0.25">
      <c r="B180" s="243"/>
      <c r="C180" s="182">
        <v>2.2999999999999998</v>
      </c>
    </row>
    <row r="181" spans="2:3" hidden="1" x14ac:dyDescent="0.25">
      <c r="B181" s="243"/>
      <c r="C181" s="182">
        <v>2.5</v>
      </c>
    </row>
    <row r="182" spans="2:3" hidden="1" x14ac:dyDescent="0.25">
      <c r="B182" s="243"/>
      <c r="C182" s="182">
        <v>2.8</v>
      </c>
    </row>
    <row r="183" spans="2:3" hidden="1" x14ac:dyDescent="0.25">
      <c r="B183" s="243"/>
      <c r="C183" s="182">
        <v>3.3</v>
      </c>
    </row>
  </sheetData>
  <sheetProtection algorithmName="SHA-512" hashValue="EqxJa7vUP21TeG5tNALaV3IcUWkfPivuYY2D5D01Xvw8JtShmy7p3pDAD1okXRtHMSEt4/gHJARcYBLO6OHpnQ==" saltValue="tdQFQPG33/SG4N7JI+9mwA==" spinCount="100000" sheet="1" selectLockedCells="1"/>
  <mergeCells count="32">
    <mergeCell ref="K10:L10"/>
    <mergeCell ref="N10:O10"/>
    <mergeCell ref="A1:N1"/>
    <mergeCell ref="O1:AD1"/>
    <mergeCell ref="B3:C3"/>
    <mergeCell ref="B4:C4"/>
    <mergeCell ref="B8:I8"/>
    <mergeCell ref="K8:R8"/>
    <mergeCell ref="T8:U8"/>
    <mergeCell ref="W8:X8"/>
    <mergeCell ref="Z8:AC8"/>
    <mergeCell ref="Q10:R10"/>
    <mergeCell ref="B10:C10"/>
    <mergeCell ref="E10:F10"/>
    <mergeCell ref="H10:I10"/>
    <mergeCell ref="B42:I42"/>
    <mergeCell ref="K42:R42"/>
    <mergeCell ref="B44:C44"/>
    <mergeCell ref="E44:F44"/>
    <mergeCell ref="H44:I44"/>
    <mergeCell ref="K44:L44"/>
    <mergeCell ref="N44:O44"/>
    <mergeCell ref="Q44:R44"/>
    <mergeCell ref="B139:B141"/>
    <mergeCell ref="B142:B149"/>
    <mergeCell ref="B150:B170"/>
    <mergeCell ref="B171:B183"/>
    <mergeCell ref="B125:B126"/>
    <mergeCell ref="B127:B130"/>
    <mergeCell ref="B131:B134"/>
    <mergeCell ref="B135:B136"/>
    <mergeCell ref="B137:B138"/>
  </mergeCells>
  <conditionalFormatting sqref="H37">
    <cfRule type="cellIs" dxfId="31" priority="3" operator="equal">
      <formula>"DCM"</formula>
    </cfRule>
    <cfRule type="cellIs" dxfId="30" priority="4" operator="equal">
      <formula>"CCM"</formula>
    </cfRule>
  </conditionalFormatting>
  <conditionalFormatting sqref="H62">
    <cfRule type="cellIs" dxfId="29" priority="5" operator="equal">
      <formula>"DCM"</formula>
    </cfRule>
    <cfRule type="cellIs" dxfId="28" priority="6" operator="equal">
      <formula>"CCM"</formula>
    </cfRule>
  </conditionalFormatting>
  <conditionalFormatting sqref="Q62">
    <cfRule type="cellIs" dxfId="27" priority="9" operator="equal">
      <formula>"DCM"</formula>
    </cfRule>
    <cfRule type="cellIs" dxfId="26" priority="10" operator="equal">
      <formula>"CCM"</formula>
    </cfRule>
  </conditionalFormatting>
  <conditionalFormatting sqref="Q37">
    <cfRule type="cellIs" dxfId="25" priority="11" operator="equal">
      <formula>"DCM"</formula>
    </cfRule>
    <cfRule type="cellIs" dxfId="24" priority="12" operator="equal">
      <formula>"CCM"</formula>
    </cfRule>
  </conditionalFormatting>
  <conditionalFormatting sqref="I13">
    <cfRule type="cellIs" dxfId="23" priority="13" operator="lessThan">
      <formula>3</formula>
    </cfRule>
    <cfRule type="cellIs" dxfId="22" priority="14" operator="greaterThan">
      <formula>"5.5V"</formula>
    </cfRule>
  </conditionalFormatting>
  <conditionalFormatting sqref="U13 X13">
    <cfRule type="cellIs" dxfId="21" priority="15" operator="greaterThan">
      <formula>400</formula>
    </cfRule>
  </conditionalFormatting>
  <conditionalFormatting sqref="R16">
    <cfRule type="cellIs" dxfId="20" priority="16" operator="greaterThan">
      <formula>800</formula>
    </cfRule>
  </conditionalFormatting>
  <conditionalFormatting sqref="I49">
    <cfRule type="cellIs" dxfId="19" priority="17" operator="greaterThan">
      <formula>$F$4</formula>
    </cfRule>
  </conditionalFormatting>
  <conditionalFormatting sqref="R49">
    <cfRule type="cellIs" dxfId="18" priority="19" operator="greaterThan">
      <formula>$F$4</formula>
    </cfRule>
  </conditionalFormatting>
  <conditionalFormatting sqref="I47">
    <cfRule type="cellIs" dxfId="17" priority="20" operator="lessThan">
      <formula>0.8</formula>
    </cfRule>
    <cfRule type="cellIs" dxfId="16" priority="21" operator="greaterThan">
      <formula>1.8</formula>
    </cfRule>
  </conditionalFormatting>
  <conditionalFormatting sqref="R47">
    <cfRule type="cellIs" dxfId="15" priority="24" operator="lessThan">
      <formula>1</formula>
    </cfRule>
    <cfRule type="expression" dxfId="14" priority="25">
      <formula>IF($I$13=$R$47,1,0)</formula>
    </cfRule>
    <cfRule type="expression" dxfId="13" priority="26">
      <formula>$O$55&gt;1</formula>
    </cfRule>
    <cfRule type="cellIs" dxfId="12" priority="27" operator="greaterThan">
      <formula>3.3</formula>
    </cfRule>
  </conditionalFormatting>
  <conditionalFormatting sqref="AA37">
    <cfRule type="cellIs" dxfId="11" priority="28" operator="lessThan">
      <formula>$T$4</formula>
    </cfRule>
  </conditionalFormatting>
  <conditionalFormatting sqref="R50">
    <cfRule type="cellIs" dxfId="10" priority="29" operator="greaterThan">
      <formula>$F$4</formula>
    </cfRule>
  </conditionalFormatting>
  <conditionalFormatting sqref="R14">
    <cfRule type="expression" dxfId="9" priority="30">
      <formula>$O$38&gt;1.5</formula>
    </cfRule>
  </conditionalFormatting>
  <conditionalFormatting sqref="O38">
    <cfRule type="cellIs" dxfId="8" priority="31" operator="greaterThan">
      <formula>1.5</formula>
    </cfRule>
  </conditionalFormatting>
  <conditionalFormatting sqref="F26">
    <cfRule type="cellIs" dxfId="7" priority="32" operator="greaterThan">
      <formula>800</formula>
    </cfRule>
  </conditionalFormatting>
  <conditionalFormatting sqref="R17">
    <cfRule type="cellIs" dxfId="6" priority="33" operator="greaterThan">
      <formula>800</formula>
    </cfRule>
  </conditionalFormatting>
  <conditionalFormatting sqref="R18">
    <cfRule type="cellIs" dxfId="5" priority="34" operator="greaterThan">
      <formula>800</formula>
    </cfRule>
  </conditionalFormatting>
  <conditionalFormatting sqref="I17">
    <cfRule type="cellIs" dxfId="4" priority="35" operator="greaterThan">
      <formula>$E$4</formula>
    </cfRule>
  </conditionalFormatting>
  <conditionalFormatting sqref="U11">
    <cfRule type="expression" dxfId="3" priority="36">
      <formula>OR(IF(LDO1_in="Buck3",IF(I_LDO1&gt;150,IF((Buck3-VLDO1)&lt;1,1,0),IF((Buck3-VLDO1)&lt;0.5,1,0)),0),IF(LDO1_in="Vpre",IF(I_LDO1&gt;150,IF((Vpre-VLDO1)&lt;1,1,0),IF((Vpre-VLDO1)&lt;0.5,1,0)),0),IF(LDO1_in="Boost",IF(I_LDO1&gt;150,IF((Boost-VLDO1)&lt;1,1,0),IF((Boost-VLDO1)&lt;0.5,1,0)),0))</formula>
    </cfRule>
  </conditionalFormatting>
  <conditionalFormatting sqref="F17 F25">
    <cfRule type="cellIs" dxfId="2" priority="37" operator="greaterThan">
      <formula>30</formula>
    </cfRule>
  </conditionalFormatting>
  <conditionalFormatting sqref="X12">
    <cfRule type="expression" dxfId="1" priority="38">
      <formula>IF((500*(Boost-VLDO2)-100)&gt;I_LDO2,0,1)</formula>
    </cfRule>
  </conditionalFormatting>
  <dataValidations count="9">
    <dataValidation type="list" allowBlank="1" showInputMessage="1" showErrorMessage="1" sqref="U11" xr:uid="{00000000-0002-0000-0300-000000000000}">
      <formula1>$C$139:$C$141</formula1>
      <formula2>0</formula2>
    </dataValidation>
    <dataValidation type="list" allowBlank="1" showInputMessage="1" showErrorMessage="1" sqref="R13" xr:uid="{00000000-0002-0000-0300-000001000000}">
      <formula1>$C$135:$C$136</formula1>
      <formula2>0</formula2>
    </dataValidation>
    <dataValidation type="list" allowBlank="1" showInputMessage="1" showErrorMessage="1" sqref="U12 X12" xr:uid="{00000000-0002-0000-0300-000002000000}">
      <formula1>$C$142:$C$149</formula1>
      <formula2>0</formula2>
    </dataValidation>
    <dataValidation type="list" allowBlank="1" showInputMessage="1" showErrorMessage="1" sqref="I13" xr:uid="{00000000-0002-0000-0300-000003000000}">
      <formula1>$C$127:$C$130</formula1>
      <formula2>0</formula2>
    </dataValidation>
    <dataValidation type="list" allowBlank="1" showInputMessage="1" showErrorMessage="1" sqref="I20" xr:uid="{00000000-0002-0000-0300-000004000000}">
      <formula1>$C$125:$C$126</formula1>
      <formula2>0</formula2>
    </dataValidation>
    <dataValidation type="list" allowBlank="1" showInputMessage="1" showErrorMessage="1" sqref="F16 F24" xr:uid="{00000000-0002-0000-0300-000005000000}">
      <formula1>$C$131:$C$134</formula1>
      <formula2>0</formula2>
    </dataValidation>
    <dataValidation type="list" allowBlank="1" showInputMessage="1" showErrorMessage="1" sqref="R47" xr:uid="{00000000-0002-0000-0300-000006000000}">
      <formula1>$C$171:$C$183</formula1>
      <formula2>0</formula2>
    </dataValidation>
    <dataValidation type="list" allowBlank="1" showInputMessage="1" showErrorMessage="1" sqref="O14" xr:uid="{00000000-0002-0000-0300-000007000000}">
      <formula1>$C$137:$C$138</formula1>
      <formula2>0</formula2>
    </dataValidation>
    <dataValidation type="list" allowBlank="1" showInputMessage="1" showErrorMessage="1" sqref="I47" xr:uid="{00000000-0002-0000-0300-000008000000}">
      <formula1>$C$150:$C$170</formula1>
      <formula2>0</formula2>
    </dataValidation>
  </dataValidations>
  <pageMargins left="0.17013888888888901" right="0.19027777777777799" top="0.32986111111111099" bottom="0.42986111111111103" header="0.51180555555555496" footer="0.51180555555555496"/>
  <pageSetup paperSize="9"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K29"/>
  <sheetViews>
    <sheetView topLeftCell="A4" zoomScaleNormal="100" zoomScalePageLayoutView="60" workbookViewId="0">
      <selection activeCell="F18" sqref="F18"/>
    </sheetView>
  </sheetViews>
  <sheetFormatPr defaultRowHeight="13.2" x14ac:dyDescent="0.25"/>
  <cols>
    <col min="1" max="1" width="0.5546875" style="183" customWidth="1"/>
    <col min="2" max="3" width="12.6640625" style="183" customWidth="1"/>
    <col min="4" max="4" width="0.5546875" style="183" customWidth="1"/>
    <col min="5" max="6" width="12.6640625" style="183" customWidth="1"/>
    <col min="7" max="7" width="0.5546875" style="183" customWidth="1"/>
    <col min="8" max="9" width="12.6640625" style="183" customWidth="1"/>
    <col min="10" max="10" width="0.5546875" style="183" customWidth="1"/>
    <col min="11" max="12" width="12.6640625" style="183" customWidth="1"/>
    <col min="13" max="13" width="0.5546875" style="183" customWidth="1"/>
    <col min="14" max="14" width="9.109375" style="184" customWidth="1"/>
    <col min="15" max="1025" width="9.109375" style="183" customWidth="1"/>
  </cols>
  <sheetData>
    <row r="1" spans="1:14" s="186" customFormat="1" ht="15" customHeight="1" x14ac:dyDescent="0.25">
      <c r="A1" s="248" t="s">
        <v>134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185"/>
    </row>
    <row r="2" spans="1:14" s="150" customFormat="1" ht="3.75" customHeight="1" x14ac:dyDescent="0.25">
      <c r="N2" s="187"/>
    </row>
    <row r="4" spans="1:14" ht="3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4" ht="30" customHeight="1" x14ac:dyDescent="0.25">
      <c r="A5" s="86"/>
      <c r="B5" s="252" t="s">
        <v>229</v>
      </c>
      <c r="C5" s="252"/>
      <c r="D5" s="86"/>
      <c r="E5" s="252" t="s">
        <v>230</v>
      </c>
      <c r="F5" s="252"/>
      <c r="G5" s="86"/>
      <c r="H5" s="252" t="s">
        <v>231</v>
      </c>
      <c r="I5" s="252"/>
      <c r="J5" s="87"/>
      <c r="K5" s="253" t="s">
        <v>232</v>
      </c>
      <c r="L5" s="253"/>
      <c r="M5" s="86"/>
    </row>
    <row r="6" spans="1:14" ht="3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4" ht="13.8" x14ac:dyDescent="0.25">
      <c r="A7" s="86"/>
      <c r="D7" s="86"/>
      <c r="E7" s="150"/>
      <c r="F7" s="150"/>
      <c r="G7" s="84"/>
      <c r="H7" s="150"/>
      <c r="I7" s="150"/>
      <c r="J7" s="84"/>
      <c r="K7" s="150"/>
      <c r="L7" s="188" t="s">
        <v>156</v>
      </c>
      <c r="M7" s="84"/>
      <c r="N7" s="184" t="s">
        <v>136</v>
      </c>
    </row>
    <row r="8" spans="1:14" ht="13.8" x14ac:dyDescent="0.25">
      <c r="A8" s="86"/>
      <c r="B8" s="189" t="s">
        <v>233</v>
      </c>
      <c r="C8" s="190">
        <f>FS84_QFN48EP_PDTCALC!Pout_Vpre/FS84_QFN48EP_PDTCALC!Vsup/FS84_QFN48EP_PDTCALC!Eff_Vpre</f>
        <v>7.4990911545719284E-3</v>
      </c>
      <c r="D8" s="86"/>
      <c r="E8" s="191" t="s">
        <v>234</v>
      </c>
      <c r="F8" s="192" t="s">
        <v>136</v>
      </c>
      <c r="G8" s="84"/>
      <c r="H8" s="191" t="s">
        <v>235</v>
      </c>
      <c r="I8" s="192" t="s">
        <v>136</v>
      </c>
      <c r="J8" s="84"/>
      <c r="K8" s="144" t="s">
        <v>42</v>
      </c>
      <c r="L8" s="193">
        <f>FS84_QFN48EP_PDTCALC!AA32</f>
        <v>0.14313727586400701</v>
      </c>
      <c r="M8" s="84"/>
      <c r="N8" s="184" t="s">
        <v>141</v>
      </c>
    </row>
    <row r="9" spans="1:14" ht="13.8" x14ac:dyDescent="0.25">
      <c r="A9" s="86"/>
      <c r="B9" s="189" t="s">
        <v>236</v>
      </c>
      <c r="C9" s="124">
        <v>0.35</v>
      </c>
      <c r="D9" s="86"/>
      <c r="E9" s="189" t="s">
        <v>237</v>
      </c>
      <c r="F9" s="124">
        <v>1.1000000000000001</v>
      </c>
      <c r="G9" s="84"/>
      <c r="H9" s="189" t="s">
        <v>238</v>
      </c>
      <c r="I9" s="124">
        <v>1.8</v>
      </c>
      <c r="J9" s="84"/>
      <c r="K9" s="144" t="s">
        <v>236</v>
      </c>
      <c r="L9" s="194">
        <f>Pdis_RB_diode</f>
        <v>2.6246819041001747E-3</v>
      </c>
      <c r="M9" s="84"/>
      <c r="N9" s="184" t="s">
        <v>138</v>
      </c>
    </row>
    <row r="10" spans="1:14" ht="13.8" x14ac:dyDescent="0.25">
      <c r="A10" s="86"/>
      <c r="B10" s="189" t="s">
        <v>239</v>
      </c>
      <c r="C10" s="103">
        <v>40</v>
      </c>
      <c r="D10" s="86"/>
      <c r="E10" s="189" t="s">
        <v>240</v>
      </c>
      <c r="F10" s="195">
        <v>0</v>
      </c>
      <c r="G10" s="84"/>
      <c r="H10" s="189" t="s">
        <v>241</v>
      </c>
      <c r="I10" s="195">
        <v>0</v>
      </c>
      <c r="J10" s="84"/>
      <c r="K10" s="144" t="s">
        <v>242</v>
      </c>
      <c r="L10" s="194">
        <f>Pdis_PI_filter</f>
        <v>2.2494547257831576E-6</v>
      </c>
      <c r="M10" s="84"/>
    </row>
    <row r="11" spans="1:14" ht="13.8" x14ac:dyDescent="0.25">
      <c r="A11" s="86"/>
      <c r="B11" s="150"/>
      <c r="C11" s="196"/>
      <c r="D11" s="86"/>
      <c r="E11" s="150"/>
      <c r="F11" s="196"/>
      <c r="G11" s="84"/>
      <c r="H11" s="150"/>
      <c r="I11" s="196"/>
      <c r="J11" s="84"/>
      <c r="K11" s="144" t="s">
        <v>243</v>
      </c>
      <c r="L11" s="194">
        <f>Pdis_LDO3</f>
        <v>0</v>
      </c>
      <c r="M11" s="84"/>
    </row>
    <row r="12" spans="1:14" ht="13.8" x14ac:dyDescent="0.25">
      <c r="A12" s="86"/>
      <c r="B12" s="150"/>
      <c r="C12" s="150"/>
      <c r="D12" s="86"/>
      <c r="E12" s="150"/>
      <c r="F12" s="150"/>
      <c r="G12" s="84"/>
      <c r="H12" s="150"/>
      <c r="I12" s="150"/>
      <c r="J12" s="84"/>
      <c r="K12" s="144" t="s">
        <v>244</v>
      </c>
      <c r="L12" s="194">
        <f>Pdis_LDO4</f>
        <v>0</v>
      </c>
      <c r="M12" s="84"/>
    </row>
    <row r="13" spans="1:14" ht="3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197"/>
      <c r="L13" s="150"/>
      <c r="M13" s="84"/>
    </row>
    <row r="14" spans="1:14" x14ac:dyDescent="0.25">
      <c r="A14" s="143"/>
      <c r="B14" s="150"/>
      <c r="C14" s="193"/>
      <c r="D14" s="143"/>
      <c r="E14" s="150"/>
      <c r="F14" s="193"/>
      <c r="G14" s="84"/>
      <c r="H14" s="150"/>
      <c r="I14" s="193"/>
      <c r="J14" s="84"/>
      <c r="M14" s="84"/>
    </row>
    <row r="15" spans="1:14" x14ac:dyDescent="0.25">
      <c r="A15" s="84"/>
      <c r="B15" s="189" t="s">
        <v>245</v>
      </c>
      <c r="C15" s="194">
        <f>RB_diode*ISUP</f>
        <v>2.6246819041001747E-3</v>
      </c>
      <c r="D15" s="84"/>
      <c r="E15" s="189" t="s">
        <v>199</v>
      </c>
      <c r="F15" s="193">
        <f>LDO3_out*I_LDO3/1000</f>
        <v>0</v>
      </c>
      <c r="G15" s="84"/>
      <c r="H15" s="189" t="s">
        <v>199</v>
      </c>
      <c r="I15" s="193">
        <f>LDO4_out*I_LDO4/1000</f>
        <v>0</v>
      </c>
      <c r="J15" s="84"/>
      <c r="K15" s="144" t="s">
        <v>246</v>
      </c>
      <c r="L15" s="198">
        <f>(FS84_QFN48EP_PDTCALC!Vpre*FS84_QFN48EP_PDTCALC!Ipre_add)+FS84_QFN48EP_PDTCALC!Pout_LDO1+FS84_QFN48EP_PDTCALC!Pout_LDO2+FS84_QFN48EP_PDTCALC!Pout_Buck1+(FS84_QFN48EP_PDTCALC!Buck3*FS84_QFN48EP_PDTCALC!Ibuck3)+Pout_LDO3+Pout_LDO4</f>
        <v>1E-10</v>
      </c>
      <c r="M15" s="84"/>
    </row>
    <row r="16" spans="1:14" x14ac:dyDescent="0.25">
      <c r="A16" s="84"/>
      <c r="B16" s="189" t="s">
        <v>247</v>
      </c>
      <c r="C16" s="194">
        <f>DCR_PI_filter/1000*ISUP^2</f>
        <v>2.2494547257831576E-6</v>
      </c>
      <c r="D16" s="84"/>
      <c r="E16" s="189" t="s">
        <v>156</v>
      </c>
      <c r="F16" s="194">
        <f>IF(LDO3_in="Vpre",(FS84_QFN48EP_PDTCALC!Vpre-LDO3_out)*I_LDO3/1000,IF(LDO3_in="Boost",(FS84_QFN48EP_PDTCALC!Boost-LDO3_out)*I_LDO3/1000,(FS84_QFN48EP_PDTCALC!Buck3-LDO3_out)*I_LDO3/1000))</f>
        <v>0</v>
      </c>
      <c r="G16" s="84"/>
      <c r="H16" s="189" t="s">
        <v>156</v>
      </c>
      <c r="I16" s="194">
        <f>IF(LDO4_in="Vpre",(FS84_QFN48EP_PDTCALC!Vpre-LDO4_out)*I_LDO4/1000,IF(LDO4_in="Boost",(FS84_QFN48EP_PDTCALC!Boost-LDO4_out)*I_LDO4/1000,(FS84_QFN48EP_PDTCALC!Buck3-LDO4_out)*I_LDO4/1000))</f>
        <v>0</v>
      </c>
      <c r="J16" s="84"/>
      <c r="K16" s="144" t="s">
        <v>248</v>
      </c>
      <c r="L16" s="198">
        <f>SUM(L8:L13)</f>
        <v>0.14576420722283298</v>
      </c>
      <c r="M16" s="84"/>
    </row>
    <row r="17" spans="1:1025" x14ac:dyDescent="0.25">
      <c r="A17" s="84"/>
      <c r="B17" s="199"/>
      <c r="C17" s="147"/>
      <c r="D17" s="84"/>
      <c r="E17" s="199" t="s">
        <v>202</v>
      </c>
      <c r="F17" s="147" t="str">
        <f>IF(Pout_LDO3=0,"-",Pout_LDO3/(Pout_LDO3+Pdis_LDO3))</f>
        <v>-</v>
      </c>
      <c r="G17" s="84"/>
      <c r="H17" s="199" t="s">
        <v>202</v>
      </c>
      <c r="I17" s="147" t="str">
        <f>IF(Pout_LDO4=0,"-",Pout_LDO4/(Pout_LDO4+Pdis_LDO4))</f>
        <v>-</v>
      </c>
      <c r="J17" s="84"/>
      <c r="K17" s="200" t="s">
        <v>249</v>
      </c>
      <c r="L17" s="201">
        <f>L15/(L15+L16)</f>
        <v>6.8603947317823932E-10</v>
      </c>
      <c r="M17" s="84"/>
    </row>
    <row r="18" spans="1:1025" x14ac:dyDescent="0.25">
      <c r="A18" s="84"/>
      <c r="B18" s="199"/>
      <c r="C18" s="202"/>
      <c r="D18" s="84"/>
      <c r="E18" s="199"/>
      <c r="F18" s="202"/>
      <c r="G18" s="84"/>
      <c r="H18" s="199"/>
      <c r="I18" s="202"/>
      <c r="J18" s="84"/>
      <c r="K18" s="150"/>
      <c r="L18" s="150"/>
      <c r="M18" s="84"/>
    </row>
    <row r="19" spans="1:1025" ht="3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1" spans="1:1025" ht="3.75" customHeight="1" x14ac:dyDescent="0.25"/>
    <row r="22" spans="1:1025" x14ac:dyDescent="0.25">
      <c r="A22" s="126"/>
      <c r="B22" s="255" t="s">
        <v>295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126"/>
      <c r="N22" s="233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6"/>
      <c r="IT22" s="126"/>
      <c r="IU22" s="126"/>
      <c r="IV22" s="126"/>
      <c r="IW22" s="126"/>
      <c r="IX22" s="126"/>
      <c r="IY22" s="126"/>
      <c r="IZ22" s="126"/>
      <c r="JA22" s="126"/>
      <c r="JB22" s="126"/>
      <c r="JC22" s="126"/>
      <c r="JD22" s="126"/>
      <c r="JE22" s="126"/>
      <c r="JF22" s="126"/>
      <c r="JG22" s="126"/>
      <c r="JH22" s="126"/>
      <c r="JI22" s="126"/>
      <c r="JJ22" s="126"/>
      <c r="JK22" s="126"/>
      <c r="JL22" s="126"/>
      <c r="JM22" s="126"/>
      <c r="JN22" s="126"/>
      <c r="JO22" s="126"/>
      <c r="JP22" s="126"/>
      <c r="JQ22" s="126"/>
      <c r="JR22" s="126"/>
      <c r="JS22" s="126"/>
      <c r="JT22" s="126"/>
      <c r="JU22" s="126"/>
      <c r="JV22" s="126"/>
      <c r="JW22" s="126"/>
      <c r="JX22" s="126"/>
      <c r="JY22" s="126"/>
      <c r="JZ22" s="126"/>
      <c r="KA22" s="126"/>
      <c r="KB22" s="126"/>
      <c r="KC22" s="126"/>
      <c r="KD22" s="126"/>
      <c r="KE22" s="126"/>
      <c r="KF22" s="126"/>
      <c r="KG22" s="126"/>
      <c r="KH22" s="126"/>
      <c r="KI22" s="126"/>
      <c r="KJ22" s="126"/>
      <c r="KK22" s="126"/>
      <c r="KL22" s="126"/>
      <c r="KM22" s="126"/>
      <c r="KN22" s="126"/>
      <c r="KO22" s="126"/>
      <c r="KP22" s="126"/>
      <c r="KQ22" s="126"/>
      <c r="KR22" s="126"/>
      <c r="KS22" s="126"/>
      <c r="KT22" s="126"/>
      <c r="KU22" s="126"/>
      <c r="KV22" s="126"/>
      <c r="KW22" s="126"/>
      <c r="KX22" s="126"/>
      <c r="KY22" s="126"/>
      <c r="KZ22" s="126"/>
      <c r="LA22" s="126"/>
      <c r="LB22" s="126"/>
      <c r="LC22" s="126"/>
      <c r="LD22" s="126"/>
      <c r="LE22" s="126"/>
      <c r="LF22" s="126"/>
      <c r="LG22" s="126"/>
      <c r="LH22" s="126"/>
      <c r="LI22" s="126"/>
      <c r="LJ22" s="126"/>
      <c r="LK22" s="126"/>
      <c r="LL22" s="126"/>
      <c r="LM22" s="126"/>
      <c r="LN22" s="126"/>
      <c r="LO22" s="126"/>
      <c r="LP22" s="126"/>
      <c r="LQ22" s="126"/>
      <c r="LR22" s="126"/>
      <c r="LS22" s="126"/>
      <c r="LT22" s="126"/>
      <c r="LU22" s="126"/>
      <c r="LV22" s="126"/>
      <c r="LW22" s="126"/>
      <c r="LX22" s="126"/>
      <c r="LY22" s="126"/>
      <c r="LZ22" s="126"/>
      <c r="MA22" s="126"/>
      <c r="MB22" s="126"/>
      <c r="MC22" s="126"/>
      <c r="MD22" s="126"/>
      <c r="ME22" s="126"/>
      <c r="MF22" s="126"/>
      <c r="MG22" s="126"/>
      <c r="MH22" s="126"/>
      <c r="MI22" s="126"/>
      <c r="MJ22" s="126"/>
      <c r="MK22" s="126"/>
      <c r="ML22" s="126"/>
      <c r="MM22" s="126"/>
      <c r="MN22" s="126"/>
      <c r="MO22" s="126"/>
      <c r="MP22" s="126"/>
      <c r="MQ22" s="126"/>
      <c r="MR22" s="126"/>
      <c r="MS22" s="126"/>
      <c r="MT22" s="126"/>
      <c r="MU22" s="126"/>
      <c r="MV22" s="126"/>
      <c r="MW22" s="126"/>
      <c r="MX22" s="126"/>
      <c r="MY22" s="126"/>
      <c r="MZ22" s="126"/>
      <c r="NA22" s="126"/>
      <c r="NB22" s="126"/>
      <c r="NC22" s="126"/>
      <c r="ND22" s="126"/>
      <c r="NE22" s="126"/>
      <c r="NF22" s="126"/>
      <c r="NG22" s="126"/>
      <c r="NH22" s="126"/>
      <c r="NI22" s="126"/>
      <c r="NJ22" s="126"/>
      <c r="NK22" s="126"/>
      <c r="NL22" s="126"/>
      <c r="NM22" s="126"/>
      <c r="NN22" s="126"/>
      <c r="NO22" s="126"/>
      <c r="NP22" s="126"/>
      <c r="NQ22" s="126"/>
      <c r="NR22" s="126"/>
      <c r="NS22" s="126"/>
      <c r="NT22" s="126"/>
      <c r="NU22" s="126"/>
      <c r="NV22" s="126"/>
      <c r="NW22" s="126"/>
      <c r="NX22" s="126"/>
      <c r="NY22" s="126"/>
      <c r="NZ22" s="126"/>
      <c r="OA22" s="126"/>
      <c r="OB22" s="126"/>
      <c r="OC22" s="126"/>
      <c r="OD22" s="126"/>
      <c r="OE22" s="126"/>
      <c r="OF22" s="126"/>
      <c r="OG22" s="126"/>
      <c r="OH22" s="126"/>
      <c r="OI22" s="126"/>
      <c r="OJ22" s="126"/>
      <c r="OK22" s="126"/>
      <c r="OL22" s="126"/>
      <c r="OM22" s="126"/>
      <c r="ON22" s="126"/>
      <c r="OO22" s="126"/>
      <c r="OP22" s="126"/>
      <c r="OQ22" s="126"/>
      <c r="OR22" s="126"/>
      <c r="OS22" s="126"/>
      <c r="OT22" s="126"/>
      <c r="OU22" s="126"/>
      <c r="OV22" s="126"/>
      <c r="OW22" s="126"/>
      <c r="OX22" s="126"/>
      <c r="OY22" s="126"/>
      <c r="OZ22" s="126"/>
      <c r="PA22" s="126"/>
      <c r="PB22" s="126"/>
      <c r="PC22" s="126"/>
      <c r="PD22" s="126"/>
      <c r="PE22" s="126"/>
      <c r="PF22" s="126"/>
      <c r="PG22" s="126"/>
      <c r="PH22" s="126"/>
      <c r="PI22" s="126"/>
      <c r="PJ22" s="126"/>
      <c r="PK22" s="126"/>
      <c r="PL22" s="126"/>
      <c r="PM22" s="126"/>
      <c r="PN22" s="126"/>
      <c r="PO22" s="126"/>
      <c r="PP22" s="126"/>
      <c r="PQ22" s="126"/>
      <c r="PR22" s="126"/>
      <c r="PS22" s="126"/>
      <c r="PT22" s="126"/>
      <c r="PU22" s="126"/>
      <c r="PV22" s="126"/>
      <c r="PW22" s="126"/>
      <c r="PX22" s="126"/>
      <c r="PY22" s="126"/>
      <c r="PZ22" s="126"/>
      <c r="QA22" s="126"/>
      <c r="QB22" s="126"/>
      <c r="QC22" s="126"/>
      <c r="QD22" s="126"/>
      <c r="QE22" s="126"/>
      <c r="QF22" s="126"/>
      <c r="QG22" s="126"/>
      <c r="QH22" s="126"/>
      <c r="QI22" s="126"/>
      <c r="QJ22" s="126"/>
      <c r="QK22" s="126"/>
      <c r="QL22" s="126"/>
      <c r="QM22" s="126"/>
      <c r="QN22" s="126"/>
      <c r="QO22" s="126"/>
      <c r="QP22" s="126"/>
      <c r="QQ22" s="126"/>
      <c r="QR22" s="126"/>
      <c r="QS22" s="126"/>
      <c r="QT22" s="126"/>
      <c r="QU22" s="126"/>
      <c r="QV22" s="126"/>
      <c r="QW22" s="126"/>
      <c r="QX22" s="126"/>
      <c r="QY22" s="126"/>
      <c r="QZ22" s="126"/>
      <c r="RA22" s="126"/>
      <c r="RB22" s="126"/>
      <c r="RC22" s="126"/>
      <c r="RD22" s="126"/>
      <c r="RE22" s="126"/>
      <c r="RF22" s="126"/>
      <c r="RG22" s="126"/>
      <c r="RH22" s="126"/>
      <c r="RI22" s="126"/>
      <c r="RJ22" s="126"/>
      <c r="RK22" s="126"/>
      <c r="RL22" s="126"/>
      <c r="RM22" s="126"/>
      <c r="RN22" s="126"/>
      <c r="RO22" s="126"/>
      <c r="RP22" s="126"/>
      <c r="RQ22" s="126"/>
      <c r="RR22" s="126"/>
      <c r="RS22" s="126"/>
      <c r="RT22" s="126"/>
      <c r="RU22" s="126"/>
      <c r="RV22" s="126"/>
      <c r="RW22" s="126"/>
      <c r="RX22" s="126"/>
      <c r="RY22" s="126"/>
      <c r="RZ22" s="126"/>
      <c r="SA22" s="126"/>
      <c r="SB22" s="126"/>
      <c r="SC22" s="126"/>
      <c r="SD22" s="126"/>
      <c r="SE22" s="126"/>
      <c r="SF22" s="126"/>
      <c r="SG22" s="126"/>
      <c r="SH22" s="126"/>
      <c r="SI22" s="126"/>
      <c r="SJ22" s="126"/>
      <c r="SK22" s="126"/>
      <c r="SL22" s="126"/>
      <c r="SM22" s="126"/>
      <c r="SN22" s="126"/>
      <c r="SO22" s="126"/>
      <c r="SP22" s="126"/>
      <c r="SQ22" s="126"/>
      <c r="SR22" s="126"/>
      <c r="SS22" s="126"/>
      <c r="ST22" s="126"/>
      <c r="SU22" s="126"/>
      <c r="SV22" s="126"/>
      <c r="SW22" s="126"/>
      <c r="SX22" s="126"/>
      <c r="SY22" s="126"/>
      <c r="SZ22" s="126"/>
      <c r="TA22" s="126"/>
      <c r="TB22" s="126"/>
      <c r="TC22" s="126"/>
      <c r="TD22" s="126"/>
      <c r="TE22" s="126"/>
      <c r="TF22" s="126"/>
      <c r="TG22" s="126"/>
      <c r="TH22" s="126"/>
      <c r="TI22" s="126"/>
      <c r="TJ22" s="126"/>
      <c r="TK22" s="126"/>
      <c r="TL22" s="126"/>
      <c r="TM22" s="126"/>
      <c r="TN22" s="126"/>
      <c r="TO22" s="126"/>
      <c r="TP22" s="126"/>
      <c r="TQ22" s="126"/>
      <c r="TR22" s="126"/>
      <c r="TS22" s="126"/>
      <c r="TT22" s="126"/>
      <c r="TU22" s="126"/>
      <c r="TV22" s="126"/>
      <c r="TW22" s="126"/>
      <c r="TX22" s="126"/>
      <c r="TY22" s="126"/>
      <c r="TZ22" s="126"/>
      <c r="UA22" s="126"/>
      <c r="UB22" s="126"/>
      <c r="UC22" s="126"/>
      <c r="UD22" s="126"/>
      <c r="UE22" s="126"/>
      <c r="UF22" s="126"/>
      <c r="UG22" s="126"/>
      <c r="UH22" s="126"/>
      <c r="UI22" s="126"/>
      <c r="UJ22" s="126"/>
      <c r="UK22" s="126"/>
      <c r="UL22" s="126"/>
      <c r="UM22" s="126"/>
      <c r="UN22" s="126"/>
      <c r="UO22" s="126"/>
      <c r="UP22" s="126"/>
      <c r="UQ22" s="126"/>
      <c r="UR22" s="126"/>
      <c r="US22" s="126"/>
      <c r="UT22" s="126"/>
      <c r="UU22" s="126"/>
      <c r="UV22" s="126"/>
      <c r="UW22" s="126"/>
      <c r="UX22" s="126"/>
      <c r="UY22" s="126"/>
      <c r="UZ22" s="126"/>
      <c r="VA22" s="126"/>
      <c r="VB22" s="126"/>
      <c r="VC22" s="126"/>
      <c r="VD22" s="126"/>
      <c r="VE22" s="126"/>
      <c r="VF22" s="126"/>
      <c r="VG22" s="126"/>
      <c r="VH22" s="126"/>
      <c r="VI22" s="126"/>
      <c r="VJ22" s="126"/>
      <c r="VK22" s="126"/>
      <c r="VL22" s="126"/>
      <c r="VM22" s="126"/>
      <c r="VN22" s="126"/>
      <c r="VO22" s="126"/>
      <c r="VP22" s="126"/>
      <c r="VQ22" s="126"/>
      <c r="VR22" s="126"/>
      <c r="VS22" s="126"/>
      <c r="VT22" s="126"/>
      <c r="VU22" s="126"/>
      <c r="VV22" s="126"/>
      <c r="VW22" s="126"/>
      <c r="VX22" s="126"/>
      <c r="VY22" s="126"/>
      <c r="VZ22" s="126"/>
      <c r="WA22" s="126"/>
      <c r="WB22" s="126"/>
      <c r="WC22" s="126"/>
      <c r="WD22" s="126"/>
      <c r="WE22" s="126"/>
      <c r="WF22" s="126"/>
      <c r="WG22" s="126"/>
      <c r="WH22" s="126"/>
      <c r="WI22" s="126"/>
      <c r="WJ22" s="126"/>
      <c r="WK22" s="126"/>
      <c r="WL22" s="126"/>
      <c r="WM22" s="126"/>
      <c r="WN22" s="126"/>
      <c r="WO22" s="126"/>
      <c r="WP22" s="126"/>
      <c r="WQ22" s="126"/>
      <c r="WR22" s="126"/>
      <c r="WS22" s="126"/>
      <c r="WT22" s="126"/>
      <c r="WU22" s="126"/>
      <c r="WV22" s="126"/>
      <c r="WW22" s="126"/>
      <c r="WX22" s="126"/>
      <c r="WY22" s="126"/>
      <c r="WZ22" s="126"/>
      <c r="XA22" s="126"/>
      <c r="XB22" s="126"/>
      <c r="XC22" s="126"/>
      <c r="XD22" s="126"/>
      <c r="XE22" s="126"/>
      <c r="XF22" s="126"/>
      <c r="XG22" s="126"/>
      <c r="XH22" s="126"/>
      <c r="XI22" s="126"/>
      <c r="XJ22" s="126"/>
      <c r="XK22" s="126"/>
      <c r="XL22" s="126"/>
      <c r="XM22" s="126"/>
      <c r="XN22" s="126"/>
      <c r="XO22" s="126"/>
      <c r="XP22" s="126"/>
      <c r="XQ22" s="126"/>
      <c r="XR22" s="126"/>
      <c r="XS22" s="126"/>
      <c r="XT22" s="126"/>
      <c r="XU22" s="126"/>
      <c r="XV22" s="126"/>
      <c r="XW22" s="126"/>
      <c r="XX22" s="126"/>
      <c r="XY22" s="126"/>
      <c r="XZ22" s="126"/>
      <c r="YA22" s="126"/>
      <c r="YB22" s="126"/>
      <c r="YC22" s="126"/>
      <c r="YD22" s="126"/>
      <c r="YE22" s="126"/>
      <c r="YF22" s="126"/>
      <c r="YG22" s="126"/>
      <c r="YH22" s="126"/>
      <c r="YI22" s="126"/>
      <c r="YJ22" s="126"/>
      <c r="YK22" s="126"/>
      <c r="YL22" s="126"/>
      <c r="YM22" s="126"/>
      <c r="YN22" s="126"/>
      <c r="YO22" s="126"/>
      <c r="YP22" s="126"/>
      <c r="YQ22" s="126"/>
      <c r="YR22" s="126"/>
      <c r="YS22" s="126"/>
      <c r="YT22" s="126"/>
      <c r="YU22" s="126"/>
      <c r="YV22" s="126"/>
      <c r="YW22" s="126"/>
      <c r="YX22" s="126"/>
      <c r="YY22" s="126"/>
      <c r="YZ22" s="126"/>
      <c r="ZA22" s="126"/>
      <c r="ZB22" s="126"/>
      <c r="ZC22" s="126"/>
      <c r="ZD22" s="126"/>
      <c r="ZE22" s="126"/>
      <c r="ZF22" s="126"/>
      <c r="ZG22" s="126"/>
      <c r="ZH22" s="126"/>
      <c r="ZI22" s="126"/>
      <c r="ZJ22" s="126"/>
      <c r="ZK22" s="126"/>
      <c r="ZL22" s="126"/>
      <c r="ZM22" s="126"/>
      <c r="ZN22" s="126"/>
      <c r="ZO22" s="126"/>
      <c r="ZP22" s="126"/>
      <c r="ZQ22" s="126"/>
      <c r="ZR22" s="126"/>
      <c r="ZS22" s="126"/>
      <c r="ZT22" s="126"/>
      <c r="ZU22" s="126"/>
      <c r="ZV22" s="126"/>
      <c r="ZW22" s="126"/>
      <c r="ZX22" s="126"/>
      <c r="ZY22" s="126"/>
      <c r="ZZ22" s="126"/>
      <c r="AAA22" s="126"/>
      <c r="AAB22" s="126"/>
      <c r="AAC22" s="126"/>
      <c r="AAD22" s="126"/>
      <c r="AAE22" s="126"/>
      <c r="AAF22" s="126"/>
      <c r="AAG22" s="126"/>
      <c r="AAH22" s="126"/>
      <c r="AAI22" s="126"/>
      <c r="AAJ22" s="126"/>
      <c r="AAK22" s="126"/>
      <c r="AAL22" s="126"/>
      <c r="AAM22" s="126"/>
      <c r="AAN22" s="126"/>
      <c r="AAO22" s="126"/>
      <c r="AAP22" s="126"/>
      <c r="AAQ22" s="126"/>
      <c r="AAR22" s="126"/>
      <c r="AAS22" s="126"/>
      <c r="AAT22" s="126"/>
      <c r="AAU22" s="126"/>
      <c r="AAV22" s="126"/>
      <c r="AAW22" s="126"/>
      <c r="AAX22" s="126"/>
      <c r="AAY22" s="126"/>
      <c r="AAZ22" s="126"/>
      <c r="ABA22" s="126"/>
      <c r="ABB22" s="126"/>
      <c r="ABC22" s="126"/>
      <c r="ABD22" s="126"/>
      <c r="ABE22" s="126"/>
      <c r="ABF22" s="126"/>
      <c r="ABG22" s="126"/>
      <c r="ABH22" s="126"/>
      <c r="ABI22" s="126"/>
      <c r="ABJ22" s="126"/>
      <c r="ABK22" s="126"/>
      <c r="ABL22" s="126"/>
      <c r="ABM22" s="126"/>
      <c r="ABN22" s="126"/>
      <c r="ABO22" s="126"/>
      <c r="ABP22" s="126"/>
      <c r="ABQ22" s="126"/>
      <c r="ABR22" s="126"/>
      <c r="ABS22" s="126"/>
      <c r="ABT22" s="126"/>
      <c r="ABU22" s="126"/>
      <c r="ABV22" s="126"/>
      <c r="ABW22" s="126"/>
      <c r="ABX22" s="126"/>
      <c r="ABY22" s="126"/>
      <c r="ABZ22" s="126"/>
      <c r="ACA22" s="126"/>
      <c r="ACB22" s="126"/>
      <c r="ACC22" s="126"/>
      <c r="ACD22" s="126"/>
      <c r="ACE22" s="126"/>
      <c r="ACF22" s="126"/>
      <c r="ACG22" s="126"/>
      <c r="ACH22" s="126"/>
      <c r="ACI22" s="126"/>
      <c r="ACJ22" s="126"/>
      <c r="ACK22" s="126"/>
      <c r="ACL22" s="126"/>
      <c r="ACM22" s="126"/>
      <c r="ACN22" s="126"/>
      <c r="ACO22" s="126"/>
      <c r="ACP22" s="126"/>
      <c r="ACQ22" s="126"/>
      <c r="ACR22" s="126"/>
      <c r="ACS22" s="126"/>
      <c r="ACT22" s="126"/>
      <c r="ACU22" s="126"/>
      <c r="ACV22" s="126"/>
      <c r="ACW22" s="126"/>
      <c r="ACX22" s="126"/>
      <c r="ACY22" s="126"/>
      <c r="ACZ22" s="126"/>
      <c r="ADA22" s="126"/>
      <c r="ADB22" s="126"/>
      <c r="ADC22" s="126"/>
      <c r="ADD22" s="126"/>
      <c r="ADE22" s="126"/>
      <c r="ADF22" s="126"/>
      <c r="ADG22" s="126"/>
      <c r="ADH22" s="126"/>
      <c r="ADI22" s="126"/>
      <c r="ADJ22" s="126"/>
      <c r="ADK22" s="126"/>
      <c r="ADL22" s="126"/>
      <c r="ADM22" s="126"/>
      <c r="ADN22" s="126"/>
      <c r="ADO22" s="126"/>
      <c r="ADP22" s="126"/>
      <c r="ADQ22" s="126"/>
      <c r="ADR22" s="126"/>
      <c r="ADS22" s="126"/>
      <c r="ADT22" s="126"/>
      <c r="ADU22" s="126"/>
      <c r="ADV22" s="126"/>
      <c r="ADW22" s="126"/>
      <c r="ADX22" s="126"/>
      <c r="ADY22" s="126"/>
      <c r="ADZ22" s="126"/>
      <c r="AEA22" s="126"/>
      <c r="AEB22" s="126"/>
      <c r="AEC22" s="126"/>
      <c r="AED22" s="126"/>
      <c r="AEE22" s="126"/>
      <c r="AEF22" s="126"/>
      <c r="AEG22" s="126"/>
      <c r="AEH22" s="126"/>
      <c r="AEI22" s="126"/>
      <c r="AEJ22" s="126"/>
      <c r="AEK22" s="126"/>
      <c r="AEL22" s="126"/>
      <c r="AEM22" s="126"/>
      <c r="AEN22" s="126"/>
      <c r="AEO22" s="126"/>
      <c r="AEP22" s="126"/>
      <c r="AEQ22" s="126"/>
      <c r="AER22" s="126"/>
      <c r="AES22" s="126"/>
      <c r="AET22" s="126"/>
      <c r="AEU22" s="126"/>
      <c r="AEV22" s="126"/>
      <c r="AEW22" s="126"/>
      <c r="AEX22" s="126"/>
      <c r="AEY22" s="126"/>
      <c r="AEZ22" s="126"/>
      <c r="AFA22" s="126"/>
      <c r="AFB22" s="126"/>
      <c r="AFC22" s="126"/>
      <c r="AFD22" s="126"/>
      <c r="AFE22" s="126"/>
      <c r="AFF22" s="126"/>
      <c r="AFG22" s="126"/>
      <c r="AFH22" s="126"/>
      <c r="AFI22" s="126"/>
      <c r="AFJ22" s="126"/>
      <c r="AFK22" s="126"/>
      <c r="AFL22" s="126"/>
      <c r="AFM22" s="126"/>
      <c r="AFN22" s="126"/>
      <c r="AFO22" s="126"/>
      <c r="AFP22" s="126"/>
      <c r="AFQ22" s="126"/>
      <c r="AFR22" s="126"/>
      <c r="AFS22" s="126"/>
      <c r="AFT22" s="126"/>
      <c r="AFU22" s="126"/>
      <c r="AFV22" s="126"/>
      <c r="AFW22" s="126"/>
      <c r="AFX22" s="126"/>
      <c r="AFY22" s="126"/>
      <c r="AFZ22" s="126"/>
      <c r="AGA22" s="126"/>
      <c r="AGB22" s="126"/>
      <c r="AGC22" s="126"/>
      <c r="AGD22" s="126"/>
      <c r="AGE22" s="126"/>
      <c r="AGF22" s="126"/>
      <c r="AGG22" s="126"/>
      <c r="AGH22" s="126"/>
      <c r="AGI22" s="126"/>
      <c r="AGJ22" s="126"/>
      <c r="AGK22" s="126"/>
      <c r="AGL22" s="126"/>
      <c r="AGM22" s="126"/>
      <c r="AGN22" s="126"/>
      <c r="AGO22" s="126"/>
      <c r="AGP22" s="126"/>
      <c r="AGQ22" s="126"/>
      <c r="AGR22" s="126"/>
      <c r="AGS22" s="126"/>
      <c r="AGT22" s="126"/>
      <c r="AGU22" s="126"/>
      <c r="AGV22" s="126"/>
      <c r="AGW22" s="126"/>
      <c r="AGX22" s="126"/>
      <c r="AGY22" s="126"/>
      <c r="AGZ22" s="126"/>
      <c r="AHA22" s="126"/>
      <c r="AHB22" s="126"/>
      <c r="AHC22" s="126"/>
      <c r="AHD22" s="126"/>
      <c r="AHE22" s="126"/>
      <c r="AHF22" s="126"/>
      <c r="AHG22" s="126"/>
      <c r="AHH22" s="126"/>
      <c r="AHI22" s="126"/>
      <c r="AHJ22" s="126"/>
      <c r="AHK22" s="126"/>
      <c r="AHL22" s="126"/>
      <c r="AHM22" s="126"/>
      <c r="AHN22" s="126"/>
      <c r="AHO22" s="126"/>
      <c r="AHP22" s="126"/>
      <c r="AHQ22" s="126"/>
      <c r="AHR22" s="126"/>
      <c r="AHS22" s="126"/>
      <c r="AHT22" s="126"/>
      <c r="AHU22" s="126"/>
      <c r="AHV22" s="126"/>
      <c r="AHW22" s="126"/>
      <c r="AHX22" s="126"/>
      <c r="AHY22" s="126"/>
      <c r="AHZ22" s="126"/>
      <c r="AIA22" s="126"/>
      <c r="AIB22" s="126"/>
      <c r="AIC22" s="126"/>
      <c r="AID22" s="126"/>
      <c r="AIE22" s="126"/>
      <c r="AIF22" s="126"/>
      <c r="AIG22" s="126"/>
      <c r="AIH22" s="126"/>
      <c r="AII22" s="126"/>
      <c r="AIJ22" s="126"/>
      <c r="AIK22" s="126"/>
      <c r="AIL22" s="126"/>
      <c r="AIM22" s="126"/>
      <c r="AIN22" s="126"/>
      <c r="AIO22" s="126"/>
      <c r="AIP22" s="126"/>
      <c r="AIQ22" s="126"/>
      <c r="AIR22" s="126"/>
      <c r="AIS22" s="126"/>
      <c r="AIT22" s="126"/>
      <c r="AIU22" s="126"/>
      <c r="AIV22" s="126"/>
      <c r="AIW22" s="126"/>
      <c r="AIX22" s="126"/>
      <c r="AIY22" s="126"/>
      <c r="AIZ22" s="126"/>
      <c r="AJA22" s="126"/>
      <c r="AJB22" s="126"/>
      <c r="AJC22" s="126"/>
      <c r="AJD22" s="126"/>
      <c r="AJE22" s="126"/>
      <c r="AJF22" s="126"/>
      <c r="AJG22" s="126"/>
      <c r="AJH22" s="126"/>
      <c r="AJI22" s="126"/>
      <c r="AJJ22" s="126"/>
      <c r="AJK22" s="126"/>
      <c r="AJL22" s="126"/>
      <c r="AJM22" s="126"/>
      <c r="AJN22" s="126"/>
      <c r="AJO22" s="126"/>
      <c r="AJP22" s="126"/>
      <c r="AJQ22" s="126"/>
      <c r="AJR22" s="126"/>
      <c r="AJS22" s="126"/>
      <c r="AJT22" s="126"/>
      <c r="AJU22" s="126"/>
      <c r="AJV22" s="126"/>
      <c r="AJW22" s="126"/>
      <c r="AJX22" s="126"/>
      <c r="AJY22" s="126"/>
      <c r="AJZ22" s="126"/>
      <c r="AKA22" s="126"/>
      <c r="AKB22" s="126"/>
      <c r="AKC22" s="126"/>
      <c r="AKD22" s="126"/>
      <c r="AKE22" s="126"/>
      <c r="AKF22" s="126"/>
      <c r="AKG22" s="126"/>
      <c r="AKH22" s="126"/>
      <c r="AKI22" s="126"/>
      <c r="AKJ22" s="126"/>
      <c r="AKK22" s="126"/>
      <c r="AKL22" s="126"/>
      <c r="AKM22" s="126"/>
      <c r="AKN22" s="126"/>
      <c r="AKO22" s="126"/>
      <c r="AKP22" s="126"/>
      <c r="AKQ22" s="126"/>
      <c r="AKR22" s="126"/>
      <c r="AKS22" s="126"/>
      <c r="AKT22" s="126"/>
      <c r="AKU22" s="126"/>
      <c r="AKV22" s="126"/>
      <c r="AKW22" s="126"/>
      <c r="AKX22" s="126"/>
      <c r="AKY22" s="126"/>
      <c r="AKZ22" s="126"/>
      <c r="ALA22" s="126"/>
      <c r="ALB22" s="126"/>
      <c r="ALC22" s="126"/>
      <c r="ALD22" s="126"/>
      <c r="ALE22" s="126"/>
      <c r="ALF22" s="126"/>
      <c r="ALG22" s="126"/>
      <c r="ALH22" s="126"/>
      <c r="ALI22" s="126"/>
      <c r="ALJ22" s="126"/>
      <c r="ALK22" s="126"/>
      <c r="ALL22" s="126"/>
      <c r="ALM22" s="126"/>
      <c r="ALN22" s="126"/>
      <c r="ALO22" s="126"/>
      <c r="ALP22" s="126"/>
      <c r="ALQ22" s="126"/>
      <c r="ALR22" s="126"/>
      <c r="ALS22" s="126"/>
      <c r="ALT22" s="126"/>
      <c r="ALU22" s="126"/>
      <c r="ALV22" s="126"/>
      <c r="ALW22" s="126"/>
      <c r="ALX22" s="126"/>
      <c r="ALY22" s="126"/>
      <c r="ALZ22" s="126"/>
      <c r="AMA22" s="126"/>
      <c r="AMB22" s="126"/>
      <c r="AMC22" s="126"/>
      <c r="AMD22" s="126"/>
      <c r="AME22" s="126"/>
      <c r="AMF22" s="126"/>
      <c r="AMG22" s="126"/>
      <c r="AMH22" s="126"/>
      <c r="AMI22" s="126"/>
      <c r="AMJ22" s="126"/>
      <c r="AMK22" s="126"/>
    </row>
    <row r="23" spans="1:1025" x14ac:dyDescent="0.25">
      <c r="A23" s="126"/>
      <c r="B23" s="234" t="s">
        <v>290</v>
      </c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233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  <c r="IS23" s="126"/>
      <c r="IT23" s="126"/>
      <c r="IU23" s="126"/>
      <c r="IV23" s="126"/>
      <c r="IW23" s="126"/>
      <c r="IX23" s="126"/>
      <c r="IY23" s="126"/>
      <c r="IZ23" s="126"/>
      <c r="JA23" s="126"/>
      <c r="JB23" s="126"/>
      <c r="JC23" s="126"/>
      <c r="JD23" s="126"/>
      <c r="JE23" s="126"/>
      <c r="JF23" s="126"/>
      <c r="JG23" s="126"/>
      <c r="JH23" s="126"/>
      <c r="JI23" s="126"/>
      <c r="JJ23" s="126"/>
      <c r="JK23" s="126"/>
      <c r="JL23" s="126"/>
      <c r="JM23" s="126"/>
      <c r="JN23" s="126"/>
      <c r="JO23" s="126"/>
      <c r="JP23" s="126"/>
      <c r="JQ23" s="126"/>
      <c r="JR23" s="126"/>
      <c r="JS23" s="126"/>
      <c r="JT23" s="126"/>
      <c r="JU23" s="126"/>
      <c r="JV23" s="126"/>
      <c r="JW23" s="126"/>
      <c r="JX23" s="126"/>
      <c r="JY23" s="126"/>
      <c r="JZ23" s="126"/>
      <c r="KA23" s="126"/>
      <c r="KB23" s="126"/>
      <c r="KC23" s="126"/>
      <c r="KD23" s="126"/>
      <c r="KE23" s="126"/>
      <c r="KF23" s="126"/>
      <c r="KG23" s="126"/>
      <c r="KH23" s="126"/>
      <c r="KI23" s="126"/>
      <c r="KJ23" s="126"/>
      <c r="KK23" s="126"/>
      <c r="KL23" s="126"/>
      <c r="KM23" s="126"/>
      <c r="KN23" s="126"/>
      <c r="KO23" s="126"/>
      <c r="KP23" s="126"/>
      <c r="KQ23" s="126"/>
      <c r="KR23" s="126"/>
      <c r="KS23" s="126"/>
      <c r="KT23" s="126"/>
      <c r="KU23" s="126"/>
      <c r="KV23" s="126"/>
      <c r="KW23" s="126"/>
      <c r="KX23" s="126"/>
      <c r="KY23" s="126"/>
      <c r="KZ23" s="126"/>
      <c r="LA23" s="126"/>
      <c r="LB23" s="126"/>
      <c r="LC23" s="126"/>
      <c r="LD23" s="126"/>
      <c r="LE23" s="126"/>
      <c r="LF23" s="126"/>
      <c r="LG23" s="126"/>
      <c r="LH23" s="126"/>
      <c r="LI23" s="126"/>
      <c r="LJ23" s="126"/>
      <c r="LK23" s="126"/>
      <c r="LL23" s="126"/>
      <c r="LM23" s="126"/>
      <c r="LN23" s="126"/>
      <c r="LO23" s="126"/>
      <c r="LP23" s="126"/>
      <c r="LQ23" s="126"/>
      <c r="LR23" s="126"/>
      <c r="LS23" s="126"/>
      <c r="LT23" s="126"/>
      <c r="LU23" s="126"/>
      <c r="LV23" s="126"/>
      <c r="LW23" s="126"/>
      <c r="LX23" s="126"/>
      <c r="LY23" s="126"/>
      <c r="LZ23" s="126"/>
      <c r="MA23" s="126"/>
      <c r="MB23" s="126"/>
      <c r="MC23" s="126"/>
      <c r="MD23" s="126"/>
      <c r="ME23" s="126"/>
      <c r="MF23" s="126"/>
      <c r="MG23" s="126"/>
      <c r="MH23" s="126"/>
      <c r="MI23" s="126"/>
      <c r="MJ23" s="126"/>
      <c r="MK23" s="126"/>
      <c r="ML23" s="126"/>
      <c r="MM23" s="126"/>
      <c r="MN23" s="126"/>
      <c r="MO23" s="126"/>
      <c r="MP23" s="126"/>
      <c r="MQ23" s="126"/>
      <c r="MR23" s="126"/>
      <c r="MS23" s="126"/>
      <c r="MT23" s="126"/>
      <c r="MU23" s="126"/>
      <c r="MV23" s="126"/>
      <c r="MW23" s="126"/>
      <c r="MX23" s="126"/>
      <c r="MY23" s="126"/>
      <c r="MZ23" s="126"/>
      <c r="NA23" s="126"/>
      <c r="NB23" s="126"/>
      <c r="NC23" s="126"/>
      <c r="ND23" s="126"/>
      <c r="NE23" s="126"/>
      <c r="NF23" s="126"/>
      <c r="NG23" s="126"/>
      <c r="NH23" s="126"/>
      <c r="NI23" s="126"/>
      <c r="NJ23" s="126"/>
      <c r="NK23" s="126"/>
      <c r="NL23" s="126"/>
      <c r="NM23" s="126"/>
      <c r="NN23" s="126"/>
      <c r="NO23" s="126"/>
      <c r="NP23" s="126"/>
      <c r="NQ23" s="126"/>
      <c r="NR23" s="126"/>
      <c r="NS23" s="126"/>
      <c r="NT23" s="126"/>
      <c r="NU23" s="126"/>
      <c r="NV23" s="126"/>
      <c r="NW23" s="126"/>
      <c r="NX23" s="126"/>
      <c r="NY23" s="126"/>
      <c r="NZ23" s="126"/>
      <c r="OA23" s="126"/>
      <c r="OB23" s="126"/>
      <c r="OC23" s="126"/>
      <c r="OD23" s="126"/>
      <c r="OE23" s="126"/>
      <c r="OF23" s="126"/>
      <c r="OG23" s="126"/>
      <c r="OH23" s="126"/>
      <c r="OI23" s="126"/>
      <c r="OJ23" s="126"/>
      <c r="OK23" s="126"/>
      <c r="OL23" s="126"/>
      <c r="OM23" s="126"/>
      <c r="ON23" s="126"/>
      <c r="OO23" s="126"/>
      <c r="OP23" s="126"/>
      <c r="OQ23" s="126"/>
      <c r="OR23" s="126"/>
      <c r="OS23" s="126"/>
      <c r="OT23" s="126"/>
      <c r="OU23" s="126"/>
      <c r="OV23" s="126"/>
      <c r="OW23" s="126"/>
      <c r="OX23" s="126"/>
      <c r="OY23" s="126"/>
      <c r="OZ23" s="126"/>
      <c r="PA23" s="126"/>
      <c r="PB23" s="126"/>
      <c r="PC23" s="126"/>
      <c r="PD23" s="126"/>
      <c r="PE23" s="126"/>
      <c r="PF23" s="126"/>
      <c r="PG23" s="126"/>
      <c r="PH23" s="126"/>
      <c r="PI23" s="126"/>
      <c r="PJ23" s="126"/>
      <c r="PK23" s="126"/>
      <c r="PL23" s="126"/>
      <c r="PM23" s="126"/>
      <c r="PN23" s="126"/>
      <c r="PO23" s="126"/>
      <c r="PP23" s="126"/>
      <c r="PQ23" s="126"/>
      <c r="PR23" s="126"/>
      <c r="PS23" s="126"/>
      <c r="PT23" s="126"/>
      <c r="PU23" s="126"/>
      <c r="PV23" s="126"/>
      <c r="PW23" s="126"/>
      <c r="PX23" s="126"/>
      <c r="PY23" s="126"/>
      <c r="PZ23" s="126"/>
      <c r="QA23" s="126"/>
      <c r="QB23" s="126"/>
      <c r="QC23" s="126"/>
      <c r="QD23" s="126"/>
      <c r="QE23" s="126"/>
      <c r="QF23" s="126"/>
      <c r="QG23" s="126"/>
      <c r="QH23" s="126"/>
      <c r="QI23" s="126"/>
      <c r="QJ23" s="126"/>
      <c r="QK23" s="126"/>
      <c r="QL23" s="126"/>
      <c r="QM23" s="126"/>
      <c r="QN23" s="126"/>
      <c r="QO23" s="126"/>
      <c r="QP23" s="126"/>
      <c r="QQ23" s="126"/>
      <c r="QR23" s="126"/>
      <c r="QS23" s="126"/>
      <c r="QT23" s="126"/>
      <c r="QU23" s="126"/>
      <c r="QV23" s="126"/>
      <c r="QW23" s="126"/>
      <c r="QX23" s="126"/>
      <c r="QY23" s="126"/>
      <c r="QZ23" s="126"/>
      <c r="RA23" s="126"/>
      <c r="RB23" s="126"/>
      <c r="RC23" s="126"/>
      <c r="RD23" s="126"/>
      <c r="RE23" s="126"/>
      <c r="RF23" s="126"/>
      <c r="RG23" s="126"/>
      <c r="RH23" s="126"/>
      <c r="RI23" s="126"/>
      <c r="RJ23" s="126"/>
      <c r="RK23" s="126"/>
      <c r="RL23" s="126"/>
      <c r="RM23" s="126"/>
      <c r="RN23" s="126"/>
      <c r="RO23" s="126"/>
      <c r="RP23" s="126"/>
      <c r="RQ23" s="126"/>
      <c r="RR23" s="126"/>
      <c r="RS23" s="126"/>
      <c r="RT23" s="126"/>
      <c r="RU23" s="126"/>
      <c r="RV23" s="126"/>
      <c r="RW23" s="126"/>
      <c r="RX23" s="126"/>
      <c r="RY23" s="126"/>
      <c r="RZ23" s="126"/>
      <c r="SA23" s="126"/>
      <c r="SB23" s="126"/>
      <c r="SC23" s="126"/>
      <c r="SD23" s="126"/>
      <c r="SE23" s="126"/>
      <c r="SF23" s="126"/>
      <c r="SG23" s="126"/>
      <c r="SH23" s="126"/>
      <c r="SI23" s="126"/>
      <c r="SJ23" s="126"/>
      <c r="SK23" s="126"/>
      <c r="SL23" s="126"/>
      <c r="SM23" s="126"/>
      <c r="SN23" s="126"/>
      <c r="SO23" s="126"/>
      <c r="SP23" s="126"/>
      <c r="SQ23" s="126"/>
      <c r="SR23" s="126"/>
      <c r="SS23" s="126"/>
      <c r="ST23" s="126"/>
      <c r="SU23" s="126"/>
      <c r="SV23" s="126"/>
      <c r="SW23" s="126"/>
      <c r="SX23" s="126"/>
      <c r="SY23" s="126"/>
      <c r="SZ23" s="126"/>
      <c r="TA23" s="126"/>
      <c r="TB23" s="126"/>
      <c r="TC23" s="126"/>
      <c r="TD23" s="126"/>
      <c r="TE23" s="126"/>
      <c r="TF23" s="126"/>
      <c r="TG23" s="126"/>
      <c r="TH23" s="126"/>
      <c r="TI23" s="126"/>
      <c r="TJ23" s="126"/>
      <c r="TK23" s="126"/>
      <c r="TL23" s="126"/>
      <c r="TM23" s="126"/>
      <c r="TN23" s="126"/>
      <c r="TO23" s="126"/>
      <c r="TP23" s="126"/>
      <c r="TQ23" s="126"/>
      <c r="TR23" s="126"/>
      <c r="TS23" s="126"/>
      <c r="TT23" s="126"/>
      <c r="TU23" s="126"/>
      <c r="TV23" s="126"/>
      <c r="TW23" s="126"/>
      <c r="TX23" s="126"/>
      <c r="TY23" s="126"/>
      <c r="TZ23" s="126"/>
      <c r="UA23" s="126"/>
      <c r="UB23" s="126"/>
      <c r="UC23" s="126"/>
      <c r="UD23" s="126"/>
      <c r="UE23" s="126"/>
      <c r="UF23" s="126"/>
      <c r="UG23" s="126"/>
      <c r="UH23" s="126"/>
      <c r="UI23" s="126"/>
      <c r="UJ23" s="126"/>
      <c r="UK23" s="126"/>
      <c r="UL23" s="126"/>
      <c r="UM23" s="126"/>
      <c r="UN23" s="126"/>
      <c r="UO23" s="126"/>
      <c r="UP23" s="126"/>
      <c r="UQ23" s="126"/>
      <c r="UR23" s="126"/>
      <c r="US23" s="126"/>
      <c r="UT23" s="126"/>
      <c r="UU23" s="126"/>
      <c r="UV23" s="126"/>
      <c r="UW23" s="126"/>
      <c r="UX23" s="126"/>
      <c r="UY23" s="126"/>
      <c r="UZ23" s="126"/>
      <c r="VA23" s="126"/>
      <c r="VB23" s="126"/>
      <c r="VC23" s="126"/>
      <c r="VD23" s="126"/>
      <c r="VE23" s="126"/>
      <c r="VF23" s="126"/>
      <c r="VG23" s="126"/>
      <c r="VH23" s="126"/>
      <c r="VI23" s="126"/>
      <c r="VJ23" s="126"/>
      <c r="VK23" s="126"/>
      <c r="VL23" s="126"/>
      <c r="VM23" s="126"/>
      <c r="VN23" s="126"/>
      <c r="VO23" s="126"/>
      <c r="VP23" s="126"/>
      <c r="VQ23" s="126"/>
      <c r="VR23" s="126"/>
      <c r="VS23" s="126"/>
      <c r="VT23" s="126"/>
      <c r="VU23" s="126"/>
      <c r="VV23" s="126"/>
      <c r="VW23" s="126"/>
      <c r="VX23" s="126"/>
      <c r="VY23" s="126"/>
      <c r="VZ23" s="126"/>
      <c r="WA23" s="126"/>
      <c r="WB23" s="126"/>
      <c r="WC23" s="126"/>
      <c r="WD23" s="126"/>
      <c r="WE23" s="126"/>
      <c r="WF23" s="126"/>
      <c r="WG23" s="126"/>
      <c r="WH23" s="126"/>
      <c r="WI23" s="126"/>
      <c r="WJ23" s="126"/>
      <c r="WK23" s="126"/>
      <c r="WL23" s="126"/>
      <c r="WM23" s="126"/>
      <c r="WN23" s="126"/>
      <c r="WO23" s="126"/>
      <c r="WP23" s="126"/>
      <c r="WQ23" s="126"/>
      <c r="WR23" s="126"/>
      <c r="WS23" s="126"/>
      <c r="WT23" s="126"/>
      <c r="WU23" s="126"/>
      <c r="WV23" s="126"/>
      <c r="WW23" s="126"/>
      <c r="WX23" s="126"/>
      <c r="WY23" s="126"/>
      <c r="WZ23" s="126"/>
      <c r="XA23" s="126"/>
      <c r="XB23" s="126"/>
      <c r="XC23" s="126"/>
      <c r="XD23" s="126"/>
      <c r="XE23" s="126"/>
      <c r="XF23" s="126"/>
      <c r="XG23" s="126"/>
      <c r="XH23" s="126"/>
      <c r="XI23" s="126"/>
      <c r="XJ23" s="126"/>
      <c r="XK23" s="126"/>
      <c r="XL23" s="126"/>
      <c r="XM23" s="126"/>
      <c r="XN23" s="126"/>
      <c r="XO23" s="126"/>
      <c r="XP23" s="126"/>
      <c r="XQ23" s="126"/>
      <c r="XR23" s="126"/>
      <c r="XS23" s="126"/>
      <c r="XT23" s="126"/>
      <c r="XU23" s="126"/>
      <c r="XV23" s="126"/>
      <c r="XW23" s="126"/>
      <c r="XX23" s="126"/>
      <c r="XY23" s="126"/>
      <c r="XZ23" s="126"/>
      <c r="YA23" s="126"/>
      <c r="YB23" s="126"/>
      <c r="YC23" s="126"/>
      <c r="YD23" s="126"/>
      <c r="YE23" s="126"/>
      <c r="YF23" s="126"/>
      <c r="YG23" s="126"/>
      <c r="YH23" s="126"/>
      <c r="YI23" s="126"/>
      <c r="YJ23" s="126"/>
      <c r="YK23" s="126"/>
      <c r="YL23" s="126"/>
      <c r="YM23" s="126"/>
      <c r="YN23" s="126"/>
      <c r="YO23" s="126"/>
      <c r="YP23" s="126"/>
      <c r="YQ23" s="126"/>
      <c r="YR23" s="126"/>
      <c r="YS23" s="126"/>
      <c r="YT23" s="126"/>
      <c r="YU23" s="126"/>
      <c r="YV23" s="126"/>
      <c r="YW23" s="126"/>
      <c r="YX23" s="126"/>
      <c r="YY23" s="126"/>
      <c r="YZ23" s="126"/>
      <c r="ZA23" s="126"/>
      <c r="ZB23" s="126"/>
      <c r="ZC23" s="126"/>
      <c r="ZD23" s="126"/>
      <c r="ZE23" s="126"/>
      <c r="ZF23" s="126"/>
      <c r="ZG23" s="126"/>
      <c r="ZH23" s="126"/>
      <c r="ZI23" s="126"/>
      <c r="ZJ23" s="126"/>
      <c r="ZK23" s="126"/>
      <c r="ZL23" s="126"/>
      <c r="ZM23" s="126"/>
      <c r="ZN23" s="126"/>
      <c r="ZO23" s="126"/>
      <c r="ZP23" s="126"/>
      <c r="ZQ23" s="126"/>
      <c r="ZR23" s="126"/>
      <c r="ZS23" s="126"/>
      <c r="ZT23" s="126"/>
      <c r="ZU23" s="126"/>
      <c r="ZV23" s="126"/>
      <c r="ZW23" s="126"/>
      <c r="ZX23" s="126"/>
      <c r="ZY23" s="126"/>
      <c r="ZZ23" s="126"/>
      <c r="AAA23" s="126"/>
      <c r="AAB23" s="126"/>
      <c r="AAC23" s="126"/>
      <c r="AAD23" s="126"/>
      <c r="AAE23" s="126"/>
      <c r="AAF23" s="126"/>
      <c r="AAG23" s="126"/>
      <c r="AAH23" s="126"/>
      <c r="AAI23" s="126"/>
      <c r="AAJ23" s="126"/>
      <c r="AAK23" s="126"/>
      <c r="AAL23" s="126"/>
      <c r="AAM23" s="126"/>
      <c r="AAN23" s="126"/>
      <c r="AAO23" s="126"/>
      <c r="AAP23" s="126"/>
      <c r="AAQ23" s="126"/>
      <c r="AAR23" s="126"/>
      <c r="AAS23" s="126"/>
      <c r="AAT23" s="126"/>
      <c r="AAU23" s="126"/>
      <c r="AAV23" s="126"/>
      <c r="AAW23" s="126"/>
      <c r="AAX23" s="126"/>
      <c r="AAY23" s="126"/>
      <c r="AAZ23" s="126"/>
      <c r="ABA23" s="126"/>
      <c r="ABB23" s="126"/>
      <c r="ABC23" s="126"/>
      <c r="ABD23" s="126"/>
      <c r="ABE23" s="126"/>
      <c r="ABF23" s="126"/>
      <c r="ABG23" s="126"/>
      <c r="ABH23" s="126"/>
      <c r="ABI23" s="126"/>
      <c r="ABJ23" s="126"/>
      <c r="ABK23" s="126"/>
      <c r="ABL23" s="126"/>
      <c r="ABM23" s="126"/>
      <c r="ABN23" s="126"/>
      <c r="ABO23" s="126"/>
      <c r="ABP23" s="126"/>
      <c r="ABQ23" s="126"/>
      <c r="ABR23" s="126"/>
      <c r="ABS23" s="126"/>
      <c r="ABT23" s="126"/>
      <c r="ABU23" s="126"/>
      <c r="ABV23" s="126"/>
      <c r="ABW23" s="126"/>
      <c r="ABX23" s="126"/>
      <c r="ABY23" s="126"/>
      <c r="ABZ23" s="126"/>
      <c r="ACA23" s="126"/>
      <c r="ACB23" s="126"/>
      <c r="ACC23" s="126"/>
      <c r="ACD23" s="126"/>
      <c r="ACE23" s="126"/>
      <c r="ACF23" s="126"/>
      <c r="ACG23" s="126"/>
      <c r="ACH23" s="126"/>
      <c r="ACI23" s="126"/>
      <c r="ACJ23" s="126"/>
      <c r="ACK23" s="126"/>
      <c r="ACL23" s="126"/>
      <c r="ACM23" s="126"/>
      <c r="ACN23" s="126"/>
      <c r="ACO23" s="126"/>
      <c r="ACP23" s="126"/>
      <c r="ACQ23" s="126"/>
      <c r="ACR23" s="126"/>
      <c r="ACS23" s="126"/>
      <c r="ACT23" s="126"/>
      <c r="ACU23" s="126"/>
      <c r="ACV23" s="126"/>
      <c r="ACW23" s="126"/>
      <c r="ACX23" s="126"/>
      <c r="ACY23" s="126"/>
      <c r="ACZ23" s="126"/>
      <c r="ADA23" s="126"/>
      <c r="ADB23" s="126"/>
      <c r="ADC23" s="126"/>
      <c r="ADD23" s="126"/>
      <c r="ADE23" s="126"/>
      <c r="ADF23" s="126"/>
      <c r="ADG23" s="126"/>
      <c r="ADH23" s="126"/>
      <c r="ADI23" s="126"/>
      <c r="ADJ23" s="126"/>
      <c r="ADK23" s="126"/>
      <c r="ADL23" s="126"/>
      <c r="ADM23" s="126"/>
      <c r="ADN23" s="126"/>
      <c r="ADO23" s="126"/>
      <c r="ADP23" s="126"/>
      <c r="ADQ23" s="126"/>
      <c r="ADR23" s="126"/>
      <c r="ADS23" s="126"/>
      <c r="ADT23" s="126"/>
      <c r="ADU23" s="126"/>
      <c r="ADV23" s="126"/>
      <c r="ADW23" s="126"/>
      <c r="ADX23" s="126"/>
      <c r="ADY23" s="126"/>
      <c r="ADZ23" s="126"/>
      <c r="AEA23" s="126"/>
      <c r="AEB23" s="126"/>
      <c r="AEC23" s="126"/>
      <c r="AED23" s="126"/>
      <c r="AEE23" s="126"/>
      <c r="AEF23" s="126"/>
      <c r="AEG23" s="126"/>
      <c r="AEH23" s="126"/>
      <c r="AEI23" s="126"/>
      <c r="AEJ23" s="126"/>
      <c r="AEK23" s="126"/>
      <c r="AEL23" s="126"/>
      <c r="AEM23" s="126"/>
      <c r="AEN23" s="126"/>
      <c r="AEO23" s="126"/>
      <c r="AEP23" s="126"/>
      <c r="AEQ23" s="126"/>
      <c r="AER23" s="126"/>
      <c r="AES23" s="126"/>
      <c r="AET23" s="126"/>
      <c r="AEU23" s="126"/>
      <c r="AEV23" s="126"/>
      <c r="AEW23" s="126"/>
      <c r="AEX23" s="126"/>
      <c r="AEY23" s="126"/>
      <c r="AEZ23" s="126"/>
      <c r="AFA23" s="126"/>
      <c r="AFB23" s="126"/>
      <c r="AFC23" s="126"/>
      <c r="AFD23" s="126"/>
      <c r="AFE23" s="126"/>
      <c r="AFF23" s="126"/>
      <c r="AFG23" s="126"/>
      <c r="AFH23" s="126"/>
      <c r="AFI23" s="126"/>
      <c r="AFJ23" s="126"/>
      <c r="AFK23" s="126"/>
      <c r="AFL23" s="126"/>
      <c r="AFM23" s="126"/>
      <c r="AFN23" s="126"/>
      <c r="AFO23" s="126"/>
      <c r="AFP23" s="126"/>
      <c r="AFQ23" s="126"/>
      <c r="AFR23" s="126"/>
      <c r="AFS23" s="126"/>
      <c r="AFT23" s="126"/>
      <c r="AFU23" s="126"/>
      <c r="AFV23" s="126"/>
      <c r="AFW23" s="126"/>
      <c r="AFX23" s="126"/>
      <c r="AFY23" s="126"/>
      <c r="AFZ23" s="126"/>
      <c r="AGA23" s="126"/>
      <c r="AGB23" s="126"/>
      <c r="AGC23" s="126"/>
      <c r="AGD23" s="126"/>
      <c r="AGE23" s="126"/>
      <c r="AGF23" s="126"/>
      <c r="AGG23" s="126"/>
      <c r="AGH23" s="126"/>
      <c r="AGI23" s="126"/>
      <c r="AGJ23" s="126"/>
      <c r="AGK23" s="126"/>
      <c r="AGL23" s="126"/>
      <c r="AGM23" s="126"/>
      <c r="AGN23" s="126"/>
      <c r="AGO23" s="126"/>
      <c r="AGP23" s="126"/>
      <c r="AGQ23" s="126"/>
      <c r="AGR23" s="126"/>
      <c r="AGS23" s="126"/>
      <c r="AGT23" s="126"/>
      <c r="AGU23" s="126"/>
      <c r="AGV23" s="126"/>
      <c r="AGW23" s="126"/>
      <c r="AGX23" s="126"/>
      <c r="AGY23" s="126"/>
      <c r="AGZ23" s="126"/>
      <c r="AHA23" s="126"/>
      <c r="AHB23" s="126"/>
      <c r="AHC23" s="126"/>
      <c r="AHD23" s="126"/>
      <c r="AHE23" s="126"/>
      <c r="AHF23" s="126"/>
      <c r="AHG23" s="126"/>
      <c r="AHH23" s="126"/>
      <c r="AHI23" s="126"/>
      <c r="AHJ23" s="126"/>
      <c r="AHK23" s="126"/>
      <c r="AHL23" s="126"/>
      <c r="AHM23" s="126"/>
      <c r="AHN23" s="126"/>
      <c r="AHO23" s="126"/>
      <c r="AHP23" s="126"/>
      <c r="AHQ23" s="126"/>
      <c r="AHR23" s="126"/>
      <c r="AHS23" s="126"/>
      <c r="AHT23" s="126"/>
      <c r="AHU23" s="126"/>
      <c r="AHV23" s="126"/>
      <c r="AHW23" s="126"/>
      <c r="AHX23" s="126"/>
      <c r="AHY23" s="126"/>
      <c r="AHZ23" s="126"/>
      <c r="AIA23" s="126"/>
      <c r="AIB23" s="126"/>
      <c r="AIC23" s="126"/>
      <c r="AID23" s="126"/>
      <c r="AIE23" s="126"/>
      <c r="AIF23" s="126"/>
      <c r="AIG23" s="126"/>
      <c r="AIH23" s="126"/>
      <c r="AII23" s="126"/>
      <c r="AIJ23" s="126"/>
      <c r="AIK23" s="126"/>
      <c r="AIL23" s="126"/>
      <c r="AIM23" s="126"/>
      <c r="AIN23" s="126"/>
      <c r="AIO23" s="126"/>
      <c r="AIP23" s="126"/>
      <c r="AIQ23" s="126"/>
      <c r="AIR23" s="126"/>
      <c r="AIS23" s="126"/>
      <c r="AIT23" s="126"/>
      <c r="AIU23" s="126"/>
      <c r="AIV23" s="126"/>
      <c r="AIW23" s="126"/>
      <c r="AIX23" s="126"/>
      <c r="AIY23" s="126"/>
      <c r="AIZ23" s="126"/>
      <c r="AJA23" s="126"/>
      <c r="AJB23" s="126"/>
      <c r="AJC23" s="126"/>
      <c r="AJD23" s="126"/>
      <c r="AJE23" s="126"/>
      <c r="AJF23" s="126"/>
      <c r="AJG23" s="126"/>
      <c r="AJH23" s="126"/>
      <c r="AJI23" s="126"/>
      <c r="AJJ23" s="126"/>
      <c r="AJK23" s="126"/>
      <c r="AJL23" s="126"/>
      <c r="AJM23" s="126"/>
      <c r="AJN23" s="126"/>
      <c r="AJO23" s="126"/>
      <c r="AJP23" s="126"/>
      <c r="AJQ23" s="126"/>
      <c r="AJR23" s="126"/>
      <c r="AJS23" s="126"/>
      <c r="AJT23" s="126"/>
      <c r="AJU23" s="126"/>
      <c r="AJV23" s="126"/>
      <c r="AJW23" s="126"/>
      <c r="AJX23" s="126"/>
      <c r="AJY23" s="126"/>
      <c r="AJZ23" s="126"/>
      <c r="AKA23" s="126"/>
      <c r="AKB23" s="126"/>
      <c r="AKC23" s="126"/>
      <c r="AKD23" s="126"/>
      <c r="AKE23" s="126"/>
      <c r="AKF23" s="126"/>
      <c r="AKG23" s="126"/>
      <c r="AKH23" s="126"/>
      <c r="AKI23" s="126"/>
      <c r="AKJ23" s="126"/>
      <c r="AKK23" s="126"/>
      <c r="AKL23" s="126"/>
      <c r="AKM23" s="126"/>
      <c r="AKN23" s="126"/>
      <c r="AKO23" s="126"/>
      <c r="AKP23" s="126"/>
      <c r="AKQ23" s="126"/>
      <c r="AKR23" s="126"/>
      <c r="AKS23" s="126"/>
      <c r="AKT23" s="126"/>
      <c r="AKU23" s="126"/>
      <c r="AKV23" s="126"/>
      <c r="AKW23" s="126"/>
      <c r="AKX23" s="126"/>
      <c r="AKY23" s="126"/>
      <c r="AKZ23" s="126"/>
      <c r="ALA23" s="126"/>
      <c r="ALB23" s="126"/>
      <c r="ALC23" s="126"/>
      <c r="ALD23" s="126"/>
      <c r="ALE23" s="126"/>
      <c r="ALF23" s="126"/>
      <c r="ALG23" s="126"/>
      <c r="ALH23" s="126"/>
      <c r="ALI23" s="126"/>
      <c r="ALJ23" s="126"/>
      <c r="ALK23" s="126"/>
      <c r="ALL23" s="126"/>
      <c r="ALM23" s="126"/>
      <c r="ALN23" s="126"/>
      <c r="ALO23" s="126"/>
      <c r="ALP23" s="126"/>
      <c r="ALQ23" s="126"/>
      <c r="ALR23" s="126"/>
      <c r="ALS23" s="126"/>
      <c r="ALT23" s="126"/>
      <c r="ALU23" s="126"/>
      <c r="ALV23" s="126"/>
      <c r="ALW23" s="126"/>
      <c r="ALX23" s="126"/>
      <c r="ALY23" s="126"/>
      <c r="ALZ23" s="126"/>
      <c r="AMA23" s="126"/>
      <c r="AMB23" s="126"/>
      <c r="AMC23" s="126"/>
      <c r="AMD23" s="126"/>
      <c r="AME23" s="126"/>
      <c r="AMF23" s="126"/>
      <c r="AMG23" s="126"/>
      <c r="AMH23" s="126"/>
      <c r="AMI23" s="126"/>
      <c r="AMJ23" s="126"/>
      <c r="AMK23" s="126"/>
    </row>
    <row r="24" spans="1:1025" x14ac:dyDescent="0.2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233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  <c r="IT24" s="126"/>
      <c r="IU24" s="126"/>
      <c r="IV24" s="126"/>
      <c r="IW24" s="126"/>
      <c r="IX24" s="126"/>
      <c r="IY24" s="126"/>
      <c r="IZ24" s="126"/>
      <c r="JA24" s="126"/>
      <c r="JB24" s="126"/>
      <c r="JC24" s="126"/>
      <c r="JD24" s="126"/>
      <c r="JE24" s="126"/>
      <c r="JF24" s="126"/>
      <c r="JG24" s="126"/>
      <c r="JH24" s="126"/>
      <c r="JI24" s="126"/>
      <c r="JJ24" s="126"/>
      <c r="JK24" s="126"/>
      <c r="JL24" s="126"/>
      <c r="JM24" s="126"/>
      <c r="JN24" s="126"/>
      <c r="JO24" s="126"/>
      <c r="JP24" s="126"/>
      <c r="JQ24" s="126"/>
      <c r="JR24" s="126"/>
      <c r="JS24" s="126"/>
      <c r="JT24" s="126"/>
      <c r="JU24" s="126"/>
      <c r="JV24" s="126"/>
      <c r="JW24" s="126"/>
      <c r="JX24" s="126"/>
      <c r="JY24" s="126"/>
      <c r="JZ24" s="126"/>
      <c r="KA24" s="126"/>
      <c r="KB24" s="126"/>
      <c r="KC24" s="126"/>
      <c r="KD24" s="126"/>
      <c r="KE24" s="126"/>
      <c r="KF24" s="126"/>
      <c r="KG24" s="126"/>
      <c r="KH24" s="126"/>
      <c r="KI24" s="126"/>
      <c r="KJ24" s="126"/>
      <c r="KK24" s="126"/>
      <c r="KL24" s="126"/>
      <c r="KM24" s="126"/>
      <c r="KN24" s="126"/>
      <c r="KO24" s="126"/>
      <c r="KP24" s="126"/>
      <c r="KQ24" s="126"/>
      <c r="KR24" s="126"/>
      <c r="KS24" s="126"/>
      <c r="KT24" s="126"/>
      <c r="KU24" s="126"/>
      <c r="KV24" s="126"/>
      <c r="KW24" s="126"/>
      <c r="KX24" s="126"/>
      <c r="KY24" s="126"/>
      <c r="KZ24" s="126"/>
      <c r="LA24" s="126"/>
      <c r="LB24" s="126"/>
      <c r="LC24" s="126"/>
      <c r="LD24" s="126"/>
      <c r="LE24" s="126"/>
      <c r="LF24" s="126"/>
      <c r="LG24" s="126"/>
      <c r="LH24" s="126"/>
      <c r="LI24" s="126"/>
      <c r="LJ24" s="126"/>
      <c r="LK24" s="126"/>
      <c r="LL24" s="126"/>
      <c r="LM24" s="126"/>
      <c r="LN24" s="126"/>
      <c r="LO24" s="126"/>
      <c r="LP24" s="126"/>
      <c r="LQ24" s="126"/>
      <c r="LR24" s="126"/>
      <c r="LS24" s="126"/>
      <c r="LT24" s="126"/>
      <c r="LU24" s="126"/>
      <c r="LV24" s="126"/>
      <c r="LW24" s="126"/>
      <c r="LX24" s="126"/>
      <c r="LY24" s="126"/>
      <c r="LZ24" s="126"/>
      <c r="MA24" s="126"/>
      <c r="MB24" s="126"/>
      <c r="MC24" s="126"/>
      <c r="MD24" s="126"/>
      <c r="ME24" s="126"/>
      <c r="MF24" s="126"/>
      <c r="MG24" s="126"/>
      <c r="MH24" s="126"/>
      <c r="MI24" s="126"/>
      <c r="MJ24" s="126"/>
      <c r="MK24" s="126"/>
      <c r="ML24" s="126"/>
      <c r="MM24" s="126"/>
      <c r="MN24" s="126"/>
      <c r="MO24" s="126"/>
      <c r="MP24" s="126"/>
      <c r="MQ24" s="126"/>
      <c r="MR24" s="126"/>
      <c r="MS24" s="126"/>
      <c r="MT24" s="126"/>
      <c r="MU24" s="126"/>
      <c r="MV24" s="126"/>
      <c r="MW24" s="126"/>
      <c r="MX24" s="126"/>
      <c r="MY24" s="126"/>
      <c r="MZ24" s="126"/>
      <c r="NA24" s="126"/>
      <c r="NB24" s="126"/>
      <c r="NC24" s="126"/>
      <c r="ND24" s="126"/>
      <c r="NE24" s="126"/>
      <c r="NF24" s="126"/>
      <c r="NG24" s="126"/>
      <c r="NH24" s="126"/>
      <c r="NI24" s="126"/>
      <c r="NJ24" s="126"/>
      <c r="NK24" s="126"/>
      <c r="NL24" s="126"/>
      <c r="NM24" s="126"/>
      <c r="NN24" s="126"/>
      <c r="NO24" s="126"/>
      <c r="NP24" s="126"/>
      <c r="NQ24" s="126"/>
      <c r="NR24" s="126"/>
      <c r="NS24" s="126"/>
      <c r="NT24" s="126"/>
      <c r="NU24" s="126"/>
      <c r="NV24" s="126"/>
      <c r="NW24" s="126"/>
      <c r="NX24" s="126"/>
      <c r="NY24" s="126"/>
      <c r="NZ24" s="126"/>
      <c r="OA24" s="126"/>
      <c r="OB24" s="126"/>
      <c r="OC24" s="126"/>
      <c r="OD24" s="126"/>
      <c r="OE24" s="126"/>
      <c r="OF24" s="126"/>
      <c r="OG24" s="126"/>
      <c r="OH24" s="126"/>
      <c r="OI24" s="126"/>
      <c r="OJ24" s="126"/>
      <c r="OK24" s="126"/>
      <c r="OL24" s="126"/>
      <c r="OM24" s="126"/>
      <c r="ON24" s="126"/>
      <c r="OO24" s="126"/>
      <c r="OP24" s="126"/>
      <c r="OQ24" s="126"/>
      <c r="OR24" s="126"/>
      <c r="OS24" s="126"/>
      <c r="OT24" s="126"/>
      <c r="OU24" s="126"/>
      <c r="OV24" s="126"/>
      <c r="OW24" s="126"/>
      <c r="OX24" s="126"/>
      <c r="OY24" s="126"/>
      <c r="OZ24" s="126"/>
      <c r="PA24" s="126"/>
      <c r="PB24" s="126"/>
      <c r="PC24" s="126"/>
      <c r="PD24" s="126"/>
      <c r="PE24" s="126"/>
      <c r="PF24" s="126"/>
      <c r="PG24" s="126"/>
      <c r="PH24" s="126"/>
      <c r="PI24" s="126"/>
      <c r="PJ24" s="126"/>
      <c r="PK24" s="126"/>
      <c r="PL24" s="126"/>
      <c r="PM24" s="126"/>
      <c r="PN24" s="126"/>
      <c r="PO24" s="126"/>
      <c r="PP24" s="126"/>
      <c r="PQ24" s="126"/>
      <c r="PR24" s="126"/>
      <c r="PS24" s="126"/>
      <c r="PT24" s="126"/>
      <c r="PU24" s="126"/>
      <c r="PV24" s="126"/>
      <c r="PW24" s="126"/>
      <c r="PX24" s="126"/>
      <c r="PY24" s="126"/>
      <c r="PZ24" s="126"/>
      <c r="QA24" s="126"/>
      <c r="QB24" s="126"/>
      <c r="QC24" s="126"/>
      <c r="QD24" s="126"/>
      <c r="QE24" s="126"/>
      <c r="QF24" s="126"/>
      <c r="QG24" s="126"/>
      <c r="QH24" s="126"/>
      <c r="QI24" s="126"/>
      <c r="QJ24" s="126"/>
      <c r="QK24" s="126"/>
      <c r="QL24" s="126"/>
      <c r="QM24" s="126"/>
      <c r="QN24" s="126"/>
      <c r="QO24" s="126"/>
      <c r="QP24" s="126"/>
      <c r="QQ24" s="126"/>
      <c r="QR24" s="126"/>
      <c r="QS24" s="126"/>
      <c r="QT24" s="126"/>
      <c r="QU24" s="126"/>
      <c r="QV24" s="126"/>
      <c r="QW24" s="126"/>
      <c r="QX24" s="126"/>
      <c r="QY24" s="126"/>
      <c r="QZ24" s="126"/>
      <c r="RA24" s="126"/>
      <c r="RB24" s="126"/>
      <c r="RC24" s="126"/>
      <c r="RD24" s="126"/>
      <c r="RE24" s="126"/>
      <c r="RF24" s="126"/>
      <c r="RG24" s="126"/>
      <c r="RH24" s="126"/>
      <c r="RI24" s="126"/>
      <c r="RJ24" s="126"/>
      <c r="RK24" s="126"/>
      <c r="RL24" s="126"/>
      <c r="RM24" s="126"/>
      <c r="RN24" s="126"/>
      <c r="RO24" s="126"/>
      <c r="RP24" s="126"/>
      <c r="RQ24" s="126"/>
      <c r="RR24" s="126"/>
      <c r="RS24" s="126"/>
      <c r="RT24" s="126"/>
      <c r="RU24" s="126"/>
      <c r="RV24" s="126"/>
      <c r="RW24" s="126"/>
      <c r="RX24" s="126"/>
      <c r="RY24" s="126"/>
      <c r="RZ24" s="126"/>
      <c r="SA24" s="126"/>
      <c r="SB24" s="126"/>
      <c r="SC24" s="126"/>
      <c r="SD24" s="126"/>
      <c r="SE24" s="126"/>
      <c r="SF24" s="126"/>
      <c r="SG24" s="126"/>
      <c r="SH24" s="126"/>
      <c r="SI24" s="126"/>
      <c r="SJ24" s="126"/>
      <c r="SK24" s="126"/>
      <c r="SL24" s="126"/>
      <c r="SM24" s="126"/>
      <c r="SN24" s="126"/>
      <c r="SO24" s="126"/>
      <c r="SP24" s="126"/>
      <c r="SQ24" s="126"/>
      <c r="SR24" s="126"/>
      <c r="SS24" s="126"/>
      <c r="ST24" s="126"/>
      <c r="SU24" s="126"/>
      <c r="SV24" s="126"/>
      <c r="SW24" s="126"/>
      <c r="SX24" s="126"/>
      <c r="SY24" s="126"/>
      <c r="SZ24" s="126"/>
      <c r="TA24" s="126"/>
      <c r="TB24" s="126"/>
      <c r="TC24" s="126"/>
      <c r="TD24" s="126"/>
      <c r="TE24" s="126"/>
      <c r="TF24" s="126"/>
      <c r="TG24" s="126"/>
      <c r="TH24" s="126"/>
      <c r="TI24" s="126"/>
      <c r="TJ24" s="126"/>
      <c r="TK24" s="126"/>
      <c r="TL24" s="126"/>
      <c r="TM24" s="126"/>
      <c r="TN24" s="126"/>
      <c r="TO24" s="126"/>
      <c r="TP24" s="126"/>
      <c r="TQ24" s="126"/>
      <c r="TR24" s="126"/>
      <c r="TS24" s="126"/>
      <c r="TT24" s="126"/>
      <c r="TU24" s="126"/>
      <c r="TV24" s="126"/>
      <c r="TW24" s="126"/>
      <c r="TX24" s="126"/>
      <c r="TY24" s="126"/>
      <c r="TZ24" s="126"/>
      <c r="UA24" s="126"/>
      <c r="UB24" s="126"/>
      <c r="UC24" s="126"/>
      <c r="UD24" s="126"/>
      <c r="UE24" s="126"/>
      <c r="UF24" s="126"/>
      <c r="UG24" s="126"/>
      <c r="UH24" s="126"/>
      <c r="UI24" s="126"/>
      <c r="UJ24" s="126"/>
      <c r="UK24" s="126"/>
      <c r="UL24" s="126"/>
      <c r="UM24" s="126"/>
      <c r="UN24" s="126"/>
      <c r="UO24" s="126"/>
      <c r="UP24" s="126"/>
      <c r="UQ24" s="126"/>
      <c r="UR24" s="126"/>
      <c r="US24" s="126"/>
      <c r="UT24" s="126"/>
      <c r="UU24" s="126"/>
      <c r="UV24" s="126"/>
      <c r="UW24" s="126"/>
      <c r="UX24" s="126"/>
      <c r="UY24" s="126"/>
      <c r="UZ24" s="126"/>
      <c r="VA24" s="126"/>
      <c r="VB24" s="126"/>
      <c r="VC24" s="126"/>
      <c r="VD24" s="126"/>
      <c r="VE24" s="126"/>
      <c r="VF24" s="126"/>
      <c r="VG24" s="126"/>
      <c r="VH24" s="126"/>
      <c r="VI24" s="126"/>
      <c r="VJ24" s="126"/>
      <c r="VK24" s="126"/>
      <c r="VL24" s="126"/>
      <c r="VM24" s="126"/>
      <c r="VN24" s="126"/>
      <c r="VO24" s="126"/>
      <c r="VP24" s="126"/>
      <c r="VQ24" s="126"/>
      <c r="VR24" s="126"/>
      <c r="VS24" s="126"/>
      <c r="VT24" s="126"/>
      <c r="VU24" s="126"/>
      <c r="VV24" s="126"/>
      <c r="VW24" s="126"/>
      <c r="VX24" s="126"/>
      <c r="VY24" s="126"/>
      <c r="VZ24" s="126"/>
      <c r="WA24" s="126"/>
      <c r="WB24" s="126"/>
      <c r="WC24" s="126"/>
      <c r="WD24" s="126"/>
      <c r="WE24" s="126"/>
      <c r="WF24" s="126"/>
      <c r="WG24" s="126"/>
      <c r="WH24" s="126"/>
      <c r="WI24" s="126"/>
      <c r="WJ24" s="126"/>
      <c r="WK24" s="126"/>
      <c r="WL24" s="126"/>
      <c r="WM24" s="126"/>
      <c r="WN24" s="126"/>
      <c r="WO24" s="126"/>
      <c r="WP24" s="126"/>
      <c r="WQ24" s="126"/>
      <c r="WR24" s="126"/>
      <c r="WS24" s="126"/>
      <c r="WT24" s="126"/>
      <c r="WU24" s="126"/>
      <c r="WV24" s="126"/>
      <c r="WW24" s="126"/>
      <c r="WX24" s="126"/>
      <c r="WY24" s="126"/>
      <c r="WZ24" s="126"/>
      <c r="XA24" s="126"/>
      <c r="XB24" s="126"/>
      <c r="XC24" s="126"/>
      <c r="XD24" s="126"/>
      <c r="XE24" s="126"/>
      <c r="XF24" s="126"/>
      <c r="XG24" s="126"/>
      <c r="XH24" s="126"/>
      <c r="XI24" s="126"/>
      <c r="XJ24" s="126"/>
      <c r="XK24" s="126"/>
      <c r="XL24" s="126"/>
      <c r="XM24" s="126"/>
      <c r="XN24" s="126"/>
      <c r="XO24" s="126"/>
      <c r="XP24" s="126"/>
      <c r="XQ24" s="126"/>
      <c r="XR24" s="126"/>
      <c r="XS24" s="126"/>
      <c r="XT24" s="126"/>
      <c r="XU24" s="126"/>
      <c r="XV24" s="126"/>
      <c r="XW24" s="126"/>
      <c r="XX24" s="126"/>
      <c r="XY24" s="126"/>
      <c r="XZ24" s="126"/>
      <c r="YA24" s="126"/>
      <c r="YB24" s="126"/>
      <c r="YC24" s="126"/>
      <c r="YD24" s="126"/>
      <c r="YE24" s="126"/>
      <c r="YF24" s="126"/>
      <c r="YG24" s="126"/>
      <c r="YH24" s="126"/>
      <c r="YI24" s="126"/>
      <c r="YJ24" s="126"/>
      <c r="YK24" s="126"/>
      <c r="YL24" s="126"/>
      <c r="YM24" s="126"/>
      <c r="YN24" s="126"/>
      <c r="YO24" s="126"/>
      <c r="YP24" s="126"/>
      <c r="YQ24" s="126"/>
      <c r="YR24" s="126"/>
      <c r="YS24" s="126"/>
      <c r="YT24" s="126"/>
      <c r="YU24" s="126"/>
      <c r="YV24" s="126"/>
      <c r="YW24" s="126"/>
      <c r="YX24" s="126"/>
      <c r="YY24" s="126"/>
      <c r="YZ24" s="126"/>
      <c r="ZA24" s="126"/>
      <c r="ZB24" s="126"/>
      <c r="ZC24" s="126"/>
      <c r="ZD24" s="126"/>
      <c r="ZE24" s="126"/>
      <c r="ZF24" s="126"/>
      <c r="ZG24" s="126"/>
      <c r="ZH24" s="126"/>
      <c r="ZI24" s="126"/>
      <c r="ZJ24" s="126"/>
      <c r="ZK24" s="126"/>
      <c r="ZL24" s="126"/>
      <c r="ZM24" s="126"/>
      <c r="ZN24" s="126"/>
      <c r="ZO24" s="126"/>
      <c r="ZP24" s="126"/>
      <c r="ZQ24" s="126"/>
      <c r="ZR24" s="126"/>
      <c r="ZS24" s="126"/>
      <c r="ZT24" s="126"/>
      <c r="ZU24" s="126"/>
      <c r="ZV24" s="126"/>
      <c r="ZW24" s="126"/>
      <c r="ZX24" s="126"/>
      <c r="ZY24" s="126"/>
      <c r="ZZ24" s="126"/>
      <c r="AAA24" s="126"/>
      <c r="AAB24" s="126"/>
      <c r="AAC24" s="126"/>
      <c r="AAD24" s="126"/>
      <c r="AAE24" s="126"/>
      <c r="AAF24" s="126"/>
      <c r="AAG24" s="126"/>
      <c r="AAH24" s="126"/>
      <c r="AAI24" s="126"/>
      <c r="AAJ24" s="126"/>
      <c r="AAK24" s="126"/>
      <c r="AAL24" s="126"/>
      <c r="AAM24" s="126"/>
      <c r="AAN24" s="126"/>
      <c r="AAO24" s="126"/>
      <c r="AAP24" s="126"/>
      <c r="AAQ24" s="126"/>
      <c r="AAR24" s="126"/>
      <c r="AAS24" s="126"/>
      <c r="AAT24" s="126"/>
      <c r="AAU24" s="126"/>
      <c r="AAV24" s="126"/>
      <c r="AAW24" s="126"/>
      <c r="AAX24" s="126"/>
      <c r="AAY24" s="126"/>
      <c r="AAZ24" s="126"/>
      <c r="ABA24" s="126"/>
      <c r="ABB24" s="126"/>
      <c r="ABC24" s="126"/>
      <c r="ABD24" s="126"/>
      <c r="ABE24" s="126"/>
      <c r="ABF24" s="126"/>
      <c r="ABG24" s="126"/>
      <c r="ABH24" s="126"/>
      <c r="ABI24" s="126"/>
      <c r="ABJ24" s="126"/>
      <c r="ABK24" s="126"/>
      <c r="ABL24" s="126"/>
      <c r="ABM24" s="126"/>
      <c r="ABN24" s="126"/>
      <c r="ABO24" s="126"/>
      <c r="ABP24" s="126"/>
      <c r="ABQ24" s="126"/>
      <c r="ABR24" s="126"/>
      <c r="ABS24" s="126"/>
      <c r="ABT24" s="126"/>
      <c r="ABU24" s="126"/>
      <c r="ABV24" s="126"/>
      <c r="ABW24" s="126"/>
      <c r="ABX24" s="126"/>
      <c r="ABY24" s="126"/>
      <c r="ABZ24" s="126"/>
      <c r="ACA24" s="126"/>
      <c r="ACB24" s="126"/>
      <c r="ACC24" s="126"/>
      <c r="ACD24" s="126"/>
      <c r="ACE24" s="126"/>
      <c r="ACF24" s="126"/>
      <c r="ACG24" s="126"/>
      <c r="ACH24" s="126"/>
      <c r="ACI24" s="126"/>
      <c r="ACJ24" s="126"/>
      <c r="ACK24" s="126"/>
      <c r="ACL24" s="126"/>
      <c r="ACM24" s="126"/>
      <c r="ACN24" s="126"/>
      <c r="ACO24" s="126"/>
      <c r="ACP24" s="126"/>
      <c r="ACQ24" s="126"/>
      <c r="ACR24" s="126"/>
      <c r="ACS24" s="126"/>
      <c r="ACT24" s="126"/>
      <c r="ACU24" s="126"/>
      <c r="ACV24" s="126"/>
      <c r="ACW24" s="126"/>
      <c r="ACX24" s="126"/>
      <c r="ACY24" s="126"/>
      <c r="ACZ24" s="126"/>
      <c r="ADA24" s="126"/>
      <c r="ADB24" s="126"/>
      <c r="ADC24" s="126"/>
      <c r="ADD24" s="126"/>
      <c r="ADE24" s="126"/>
      <c r="ADF24" s="126"/>
      <c r="ADG24" s="126"/>
      <c r="ADH24" s="126"/>
      <c r="ADI24" s="126"/>
      <c r="ADJ24" s="126"/>
      <c r="ADK24" s="126"/>
      <c r="ADL24" s="126"/>
      <c r="ADM24" s="126"/>
      <c r="ADN24" s="126"/>
      <c r="ADO24" s="126"/>
      <c r="ADP24" s="126"/>
      <c r="ADQ24" s="126"/>
      <c r="ADR24" s="126"/>
      <c r="ADS24" s="126"/>
      <c r="ADT24" s="126"/>
      <c r="ADU24" s="126"/>
      <c r="ADV24" s="126"/>
      <c r="ADW24" s="126"/>
      <c r="ADX24" s="126"/>
      <c r="ADY24" s="126"/>
      <c r="ADZ24" s="126"/>
      <c r="AEA24" s="126"/>
      <c r="AEB24" s="126"/>
      <c r="AEC24" s="126"/>
      <c r="AED24" s="126"/>
      <c r="AEE24" s="126"/>
      <c r="AEF24" s="126"/>
      <c r="AEG24" s="126"/>
      <c r="AEH24" s="126"/>
      <c r="AEI24" s="126"/>
      <c r="AEJ24" s="126"/>
      <c r="AEK24" s="126"/>
      <c r="AEL24" s="126"/>
      <c r="AEM24" s="126"/>
      <c r="AEN24" s="126"/>
      <c r="AEO24" s="126"/>
      <c r="AEP24" s="126"/>
      <c r="AEQ24" s="126"/>
      <c r="AER24" s="126"/>
      <c r="AES24" s="126"/>
      <c r="AET24" s="126"/>
      <c r="AEU24" s="126"/>
      <c r="AEV24" s="126"/>
      <c r="AEW24" s="126"/>
      <c r="AEX24" s="126"/>
      <c r="AEY24" s="126"/>
      <c r="AEZ24" s="126"/>
      <c r="AFA24" s="126"/>
      <c r="AFB24" s="126"/>
      <c r="AFC24" s="126"/>
      <c r="AFD24" s="126"/>
      <c r="AFE24" s="126"/>
      <c r="AFF24" s="126"/>
      <c r="AFG24" s="126"/>
      <c r="AFH24" s="126"/>
      <c r="AFI24" s="126"/>
      <c r="AFJ24" s="126"/>
      <c r="AFK24" s="126"/>
      <c r="AFL24" s="126"/>
      <c r="AFM24" s="126"/>
      <c r="AFN24" s="126"/>
      <c r="AFO24" s="126"/>
      <c r="AFP24" s="126"/>
      <c r="AFQ24" s="126"/>
      <c r="AFR24" s="126"/>
      <c r="AFS24" s="126"/>
      <c r="AFT24" s="126"/>
      <c r="AFU24" s="126"/>
      <c r="AFV24" s="126"/>
      <c r="AFW24" s="126"/>
      <c r="AFX24" s="126"/>
      <c r="AFY24" s="126"/>
      <c r="AFZ24" s="126"/>
      <c r="AGA24" s="126"/>
      <c r="AGB24" s="126"/>
      <c r="AGC24" s="126"/>
      <c r="AGD24" s="126"/>
      <c r="AGE24" s="126"/>
      <c r="AGF24" s="126"/>
      <c r="AGG24" s="126"/>
      <c r="AGH24" s="126"/>
      <c r="AGI24" s="126"/>
      <c r="AGJ24" s="126"/>
      <c r="AGK24" s="126"/>
      <c r="AGL24" s="126"/>
      <c r="AGM24" s="126"/>
      <c r="AGN24" s="126"/>
      <c r="AGO24" s="126"/>
      <c r="AGP24" s="126"/>
      <c r="AGQ24" s="126"/>
      <c r="AGR24" s="126"/>
      <c r="AGS24" s="126"/>
      <c r="AGT24" s="126"/>
      <c r="AGU24" s="126"/>
      <c r="AGV24" s="126"/>
      <c r="AGW24" s="126"/>
      <c r="AGX24" s="126"/>
      <c r="AGY24" s="126"/>
      <c r="AGZ24" s="126"/>
      <c r="AHA24" s="126"/>
      <c r="AHB24" s="126"/>
      <c r="AHC24" s="126"/>
      <c r="AHD24" s="126"/>
      <c r="AHE24" s="126"/>
      <c r="AHF24" s="126"/>
      <c r="AHG24" s="126"/>
      <c r="AHH24" s="126"/>
      <c r="AHI24" s="126"/>
      <c r="AHJ24" s="126"/>
      <c r="AHK24" s="126"/>
      <c r="AHL24" s="126"/>
      <c r="AHM24" s="126"/>
      <c r="AHN24" s="126"/>
      <c r="AHO24" s="126"/>
      <c r="AHP24" s="126"/>
      <c r="AHQ24" s="126"/>
      <c r="AHR24" s="126"/>
      <c r="AHS24" s="126"/>
      <c r="AHT24" s="126"/>
      <c r="AHU24" s="126"/>
      <c r="AHV24" s="126"/>
      <c r="AHW24" s="126"/>
      <c r="AHX24" s="126"/>
      <c r="AHY24" s="126"/>
      <c r="AHZ24" s="126"/>
      <c r="AIA24" s="126"/>
      <c r="AIB24" s="126"/>
      <c r="AIC24" s="126"/>
      <c r="AID24" s="126"/>
      <c r="AIE24" s="126"/>
      <c r="AIF24" s="126"/>
      <c r="AIG24" s="126"/>
      <c r="AIH24" s="126"/>
      <c r="AII24" s="126"/>
      <c r="AIJ24" s="126"/>
      <c r="AIK24" s="126"/>
      <c r="AIL24" s="126"/>
      <c r="AIM24" s="126"/>
      <c r="AIN24" s="126"/>
      <c r="AIO24" s="126"/>
      <c r="AIP24" s="126"/>
      <c r="AIQ24" s="126"/>
      <c r="AIR24" s="126"/>
      <c r="AIS24" s="126"/>
      <c r="AIT24" s="126"/>
      <c r="AIU24" s="126"/>
      <c r="AIV24" s="126"/>
      <c r="AIW24" s="126"/>
      <c r="AIX24" s="126"/>
      <c r="AIY24" s="126"/>
      <c r="AIZ24" s="126"/>
      <c r="AJA24" s="126"/>
      <c r="AJB24" s="126"/>
      <c r="AJC24" s="126"/>
      <c r="AJD24" s="126"/>
      <c r="AJE24" s="126"/>
      <c r="AJF24" s="126"/>
      <c r="AJG24" s="126"/>
      <c r="AJH24" s="126"/>
      <c r="AJI24" s="126"/>
      <c r="AJJ24" s="126"/>
      <c r="AJK24" s="126"/>
      <c r="AJL24" s="126"/>
      <c r="AJM24" s="126"/>
      <c r="AJN24" s="126"/>
      <c r="AJO24" s="126"/>
      <c r="AJP24" s="126"/>
      <c r="AJQ24" s="126"/>
      <c r="AJR24" s="126"/>
      <c r="AJS24" s="126"/>
      <c r="AJT24" s="126"/>
      <c r="AJU24" s="126"/>
      <c r="AJV24" s="126"/>
      <c r="AJW24" s="126"/>
      <c r="AJX24" s="126"/>
      <c r="AJY24" s="126"/>
      <c r="AJZ24" s="126"/>
      <c r="AKA24" s="126"/>
      <c r="AKB24" s="126"/>
      <c r="AKC24" s="126"/>
      <c r="AKD24" s="126"/>
      <c r="AKE24" s="126"/>
      <c r="AKF24" s="126"/>
      <c r="AKG24" s="126"/>
      <c r="AKH24" s="126"/>
      <c r="AKI24" s="126"/>
      <c r="AKJ24" s="126"/>
      <c r="AKK24" s="126"/>
      <c r="AKL24" s="126"/>
      <c r="AKM24" s="126"/>
      <c r="AKN24" s="126"/>
      <c r="AKO24" s="126"/>
      <c r="AKP24" s="126"/>
      <c r="AKQ24" s="126"/>
      <c r="AKR24" s="126"/>
      <c r="AKS24" s="126"/>
      <c r="AKT24" s="126"/>
      <c r="AKU24" s="126"/>
      <c r="AKV24" s="126"/>
      <c r="AKW24" s="126"/>
      <c r="AKX24" s="126"/>
      <c r="AKY24" s="126"/>
      <c r="AKZ24" s="126"/>
      <c r="ALA24" s="126"/>
      <c r="ALB24" s="126"/>
      <c r="ALC24" s="126"/>
      <c r="ALD24" s="126"/>
      <c r="ALE24" s="126"/>
      <c r="ALF24" s="126"/>
      <c r="ALG24" s="126"/>
      <c r="ALH24" s="126"/>
      <c r="ALI24" s="126"/>
      <c r="ALJ24" s="126"/>
      <c r="ALK24" s="126"/>
      <c r="ALL24" s="126"/>
      <c r="ALM24" s="126"/>
      <c r="ALN24" s="126"/>
      <c r="ALO24" s="126"/>
      <c r="ALP24" s="126"/>
      <c r="ALQ24" s="126"/>
      <c r="ALR24" s="126"/>
      <c r="ALS24" s="126"/>
      <c r="ALT24" s="126"/>
      <c r="ALU24" s="126"/>
      <c r="ALV24" s="126"/>
      <c r="ALW24" s="126"/>
      <c r="ALX24" s="126"/>
      <c r="ALY24" s="126"/>
      <c r="ALZ24" s="126"/>
      <c r="AMA24" s="126"/>
      <c r="AMB24" s="126"/>
      <c r="AMC24" s="126"/>
      <c r="AMD24" s="126"/>
      <c r="AME24" s="126"/>
      <c r="AMF24" s="126"/>
      <c r="AMG24" s="126"/>
      <c r="AMH24" s="126"/>
      <c r="AMI24" s="126"/>
      <c r="AMJ24" s="126"/>
      <c r="AMK24" s="126"/>
    </row>
    <row r="25" spans="1:1025" x14ac:dyDescent="0.25">
      <c r="A25" s="126"/>
      <c r="B25" s="255" t="s">
        <v>296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126"/>
      <c r="N25" s="233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  <c r="IR25" s="126"/>
      <c r="IS25" s="126"/>
      <c r="IT25" s="126"/>
      <c r="IU25" s="126"/>
      <c r="IV25" s="126"/>
      <c r="IW25" s="126"/>
      <c r="IX25" s="126"/>
      <c r="IY25" s="126"/>
      <c r="IZ25" s="126"/>
      <c r="JA25" s="126"/>
      <c r="JB25" s="126"/>
      <c r="JC25" s="126"/>
      <c r="JD25" s="126"/>
      <c r="JE25" s="126"/>
      <c r="JF25" s="126"/>
      <c r="JG25" s="126"/>
      <c r="JH25" s="126"/>
      <c r="JI25" s="126"/>
      <c r="JJ25" s="126"/>
      <c r="JK25" s="126"/>
      <c r="JL25" s="126"/>
      <c r="JM25" s="126"/>
      <c r="JN25" s="126"/>
      <c r="JO25" s="126"/>
      <c r="JP25" s="126"/>
      <c r="JQ25" s="126"/>
      <c r="JR25" s="126"/>
      <c r="JS25" s="126"/>
      <c r="JT25" s="126"/>
      <c r="JU25" s="126"/>
      <c r="JV25" s="126"/>
      <c r="JW25" s="126"/>
      <c r="JX25" s="126"/>
      <c r="JY25" s="126"/>
      <c r="JZ25" s="126"/>
      <c r="KA25" s="126"/>
      <c r="KB25" s="126"/>
      <c r="KC25" s="126"/>
      <c r="KD25" s="126"/>
      <c r="KE25" s="126"/>
      <c r="KF25" s="126"/>
      <c r="KG25" s="126"/>
      <c r="KH25" s="126"/>
      <c r="KI25" s="126"/>
      <c r="KJ25" s="126"/>
      <c r="KK25" s="126"/>
      <c r="KL25" s="126"/>
      <c r="KM25" s="126"/>
      <c r="KN25" s="126"/>
      <c r="KO25" s="126"/>
      <c r="KP25" s="126"/>
      <c r="KQ25" s="126"/>
      <c r="KR25" s="126"/>
      <c r="KS25" s="126"/>
      <c r="KT25" s="126"/>
      <c r="KU25" s="126"/>
      <c r="KV25" s="126"/>
      <c r="KW25" s="126"/>
      <c r="KX25" s="126"/>
      <c r="KY25" s="126"/>
      <c r="KZ25" s="126"/>
      <c r="LA25" s="126"/>
      <c r="LB25" s="126"/>
      <c r="LC25" s="126"/>
      <c r="LD25" s="126"/>
      <c r="LE25" s="126"/>
      <c r="LF25" s="126"/>
      <c r="LG25" s="126"/>
      <c r="LH25" s="126"/>
      <c r="LI25" s="126"/>
      <c r="LJ25" s="126"/>
      <c r="LK25" s="126"/>
      <c r="LL25" s="126"/>
      <c r="LM25" s="126"/>
      <c r="LN25" s="126"/>
      <c r="LO25" s="126"/>
      <c r="LP25" s="126"/>
      <c r="LQ25" s="126"/>
      <c r="LR25" s="126"/>
      <c r="LS25" s="126"/>
      <c r="LT25" s="126"/>
      <c r="LU25" s="126"/>
      <c r="LV25" s="126"/>
      <c r="LW25" s="126"/>
      <c r="LX25" s="126"/>
      <c r="LY25" s="126"/>
      <c r="LZ25" s="126"/>
      <c r="MA25" s="126"/>
      <c r="MB25" s="126"/>
      <c r="MC25" s="126"/>
      <c r="MD25" s="126"/>
      <c r="ME25" s="126"/>
      <c r="MF25" s="126"/>
      <c r="MG25" s="126"/>
      <c r="MH25" s="126"/>
      <c r="MI25" s="126"/>
      <c r="MJ25" s="126"/>
      <c r="MK25" s="126"/>
      <c r="ML25" s="126"/>
      <c r="MM25" s="126"/>
      <c r="MN25" s="126"/>
      <c r="MO25" s="126"/>
      <c r="MP25" s="126"/>
      <c r="MQ25" s="126"/>
      <c r="MR25" s="126"/>
      <c r="MS25" s="126"/>
      <c r="MT25" s="126"/>
      <c r="MU25" s="126"/>
      <c r="MV25" s="126"/>
      <c r="MW25" s="126"/>
      <c r="MX25" s="126"/>
      <c r="MY25" s="126"/>
      <c r="MZ25" s="126"/>
      <c r="NA25" s="126"/>
      <c r="NB25" s="126"/>
      <c r="NC25" s="126"/>
      <c r="ND25" s="126"/>
      <c r="NE25" s="126"/>
      <c r="NF25" s="126"/>
      <c r="NG25" s="126"/>
      <c r="NH25" s="126"/>
      <c r="NI25" s="126"/>
      <c r="NJ25" s="126"/>
      <c r="NK25" s="126"/>
      <c r="NL25" s="126"/>
      <c r="NM25" s="126"/>
      <c r="NN25" s="126"/>
      <c r="NO25" s="126"/>
      <c r="NP25" s="126"/>
      <c r="NQ25" s="126"/>
      <c r="NR25" s="126"/>
      <c r="NS25" s="126"/>
      <c r="NT25" s="126"/>
      <c r="NU25" s="126"/>
      <c r="NV25" s="126"/>
      <c r="NW25" s="126"/>
      <c r="NX25" s="126"/>
      <c r="NY25" s="126"/>
      <c r="NZ25" s="126"/>
      <c r="OA25" s="126"/>
      <c r="OB25" s="126"/>
      <c r="OC25" s="126"/>
      <c r="OD25" s="126"/>
      <c r="OE25" s="126"/>
      <c r="OF25" s="126"/>
      <c r="OG25" s="126"/>
      <c r="OH25" s="126"/>
      <c r="OI25" s="126"/>
      <c r="OJ25" s="126"/>
      <c r="OK25" s="126"/>
      <c r="OL25" s="126"/>
      <c r="OM25" s="126"/>
      <c r="ON25" s="126"/>
      <c r="OO25" s="126"/>
      <c r="OP25" s="126"/>
      <c r="OQ25" s="126"/>
      <c r="OR25" s="126"/>
      <c r="OS25" s="126"/>
      <c r="OT25" s="126"/>
      <c r="OU25" s="126"/>
      <c r="OV25" s="126"/>
      <c r="OW25" s="126"/>
      <c r="OX25" s="126"/>
      <c r="OY25" s="126"/>
      <c r="OZ25" s="126"/>
      <c r="PA25" s="126"/>
      <c r="PB25" s="126"/>
      <c r="PC25" s="126"/>
      <c r="PD25" s="126"/>
      <c r="PE25" s="126"/>
      <c r="PF25" s="126"/>
      <c r="PG25" s="126"/>
      <c r="PH25" s="126"/>
      <c r="PI25" s="126"/>
      <c r="PJ25" s="126"/>
      <c r="PK25" s="126"/>
      <c r="PL25" s="126"/>
      <c r="PM25" s="126"/>
      <c r="PN25" s="126"/>
      <c r="PO25" s="126"/>
      <c r="PP25" s="126"/>
      <c r="PQ25" s="126"/>
      <c r="PR25" s="126"/>
      <c r="PS25" s="126"/>
      <c r="PT25" s="126"/>
      <c r="PU25" s="126"/>
      <c r="PV25" s="126"/>
      <c r="PW25" s="126"/>
      <c r="PX25" s="126"/>
      <c r="PY25" s="126"/>
      <c r="PZ25" s="126"/>
      <c r="QA25" s="126"/>
      <c r="QB25" s="126"/>
      <c r="QC25" s="126"/>
      <c r="QD25" s="126"/>
      <c r="QE25" s="126"/>
      <c r="QF25" s="126"/>
      <c r="QG25" s="126"/>
      <c r="QH25" s="126"/>
      <c r="QI25" s="126"/>
      <c r="QJ25" s="126"/>
      <c r="QK25" s="126"/>
      <c r="QL25" s="126"/>
      <c r="QM25" s="126"/>
      <c r="QN25" s="126"/>
      <c r="QO25" s="126"/>
      <c r="QP25" s="126"/>
      <c r="QQ25" s="126"/>
      <c r="QR25" s="126"/>
      <c r="QS25" s="126"/>
      <c r="QT25" s="126"/>
      <c r="QU25" s="126"/>
      <c r="QV25" s="126"/>
      <c r="QW25" s="126"/>
      <c r="QX25" s="126"/>
      <c r="QY25" s="126"/>
      <c r="QZ25" s="126"/>
      <c r="RA25" s="126"/>
      <c r="RB25" s="126"/>
      <c r="RC25" s="126"/>
      <c r="RD25" s="126"/>
      <c r="RE25" s="126"/>
      <c r="RF25" s="126"/>
      <c r="RG25" s="126"/>
      <c r="RH25" s="126"/>
      <c r="RI25" s="126"/>
      <c r="RJ25" s="126"/>
      <c r="RK25" s="126"/>
      <c r="RL25" s="126"/>
      <c r="RM25" s="126"/>
      <c r="RN25" s="126"/>
      <c r="RO25" s="126"/>
      <c r="RP25" s="126"/>
      <c r="RQ25" s="126"/>
      <c r="RR25" s="126"/>
      <c r="RS25" s="126"/>
      <c r="RT25" s="126"/>
      <c r="RU25" s="126"/>
      <c r="RV25" s="126"/>
      <c r="RW25" s="126"/>
      <c r="RX25" s="126"/>
      <c r="RY25" s="126"/>
      <c r="RZ25" s="126"/>
      <c r="SA25" s="126"/>
      <c r="SB25" s="126"/>
      <c r="SC25" s="126"/>
      <c r="SD25" s="126"/>
      <c r="SE25" s="126"/>
      <c r="SF25" s="126"/>
      <c r="SG25" s="126"/>
      <c r="SH25" s="126"/>
      <c r="SI25" s="126"/>
      <c r="SJ25" s="126"/>
      <c r="SK25" s="126"/>
      <c r="SL25" s="126"/>
      <c r="SM25" s="126"/>
      <c r="SN25" s="126"/>
      <c r="SO25" s="126"/>
      <c r="SP25" s="126"/>
      <c r="SQ25" s="126"/>
      <c r="SR25" s="126"/>
      <c r="SS25" s="126"/>
      <c r="ST25" s="126"/>
      <c r="SU25" s="126"/>
      <c r="SV25" s="126"/>
      <c r="SW25" s="126"/>
      <c r="SX25" s="126"/>
      <c r="SY25" s="126"/>
      <c r="SZ25" s="126"/>
      <c r="TA25" s="126"/>
      <c r="TB25" s="126"/>
      <c r="TC25" s="126"/>
      <c r="TD25" s="126"/>
      <c r="TE25" s="126"/>
      <c r="TF25" s="126"/>
      <c r="TG25" s="126"/>
      <c r="TH25" s="126"/>
      <c r="TI25" s="126"/>
      <c r="TJ25" s="126"/>
      <c r="TK25" s="126"/>
      <c r="TL25" s="126"/>
      <c r="TM25" s="126"/>
      <c r="TN25" s="126"/>
      <c r="TO25" s="126"/>
      <c r="TP25" s="126"/>
      <c r="TQ25" s="126"/>
      <c r="TR25" s="126"/>
      <c r="TS25" s="126"/>
      <c r="TT25" s="126"/>
      <c r="TU25" s="126"/>
      <c r="TV25" s="126"/>
      <c r="TW25" s="126"/>
      <c r="TX25" s="126"/>
      <c r="TY25" s="126"/>
      <c r="TZ25" s="126"/>
      <c r="UA25" s="126"/>
      <c r="UB25" s="126"/>
      <c r="UC25" s="126"/>
      <c r="UD25" s="126"/>
      <c r="UE25" s="126"/>
      <c r="UF25" s="126"/>
      <c r="UG25" s="126"/>
      <c r="UH25" s="126"/>
      <c r="UI25" s="126"/>
      <c r="UJ25" s="126"/>
      <c r="UK25" s="126"/>
      <c r="UL25" s="126"/>
      <c r="UM25" s="126"/>
      <c r="UN25" s="126"/>
      <c r="UO25" s="126"/>
      <c r="UP25" s="126"/>
      <c r="UQ25" s="126"/>
      <c r="UR25" s="126"/>
      <c r="US25" s="126"/>
      <c r="UT25" s="126"/>
      <c r="UU25" s="126"/>
      <c r="UV25" s="126"/>
      <c r="UW25" s="126"/>
      <c r="UX25" s="126"/>
      <c r="UY25" s="126"/>
      <c r="UZ25" s="126"/>
      <c r="VA25" s="126"/>
      <c r="VB25" s="126"/>
      <c r="VC25" s="126"/>
      <c r="VD25" s="126"/>
      <c r="VE25" s="126"/>
      <c r="VF25" s="126"/>
      <c r="VG25" s="126"/>
      <c r="VH25" s="126"/>
      <c r="VI25" s="126"/>
      <c r="VJ25" s="126"/>
      <c r="VK25" s="126"/>
      <c r="VL25" s="126"/>
      <c r="VM25" s="126"/>
      <c r="VN25" s="126"/>
      <c r="VO25" s="126"/>
      <c r="VP25" s="126"/>
      <c r="VQ25" s="126"/>
      <c r="VR25" s="126"/>
      <c r="VS25" s="126"/>
      <c r="VT25" s="126"/>
      <c r="VU25" s="126"/>
      <c r="VV25" s="126"/>
      <c r="VW25" s="126"/>
      <c r="VX25" s="126"/>
      <c r="VY25" s="126"/>
      <c r="VZ25" s="126"/>
      <c r="WA25" s="126"/>
      <c r="WB25" s="126"/>
      <c r="WC25" s="126"/>
      <c r="WD25" s="126"/>
      <c r="WE25" s="126"/>
      <c r="WF25" s="126"/>
      <c r="WG25" s="126"/>
      <c r="WH25" s="126"/>
      <c r="WI25" s="126"/>
      <c r="WJ25" s="126"/>
      <c r="WK25" s="126"/>
      <c r="WL25" s="126"/>
      <c r="WM25" s="126"/>
      <c r="WN25" s="126"/>
      <c r="WO25" s="126"/>
      <c r="WP25" s="126"/>
      <c r="WQ25" s="126"/>
      <c r="WR25" s="126"/>
      <c r="WS25" s="126"/>
      <c r="WT25" s="126"/>
      <c r="WU25" s="126"/>
      <c r="WV25" s="126"/>
      <c r="WW25" s="126"/>
      <c r="WX25" s="126"/>
      <c r="WY25" s="126"/>
      <c r="WZ25" s="126"/>
      <c r="XA25" s="126"/>
      <c r="XB25" s="126"/>
      <c r="XC25" s="126"/>
      <c r="XD25" s="126"/>
      <c r="XE25" s="126"/>
      <c r="XF25" s="126"/>
      <c r="XG25" s="126"/>
      <c r="XH25" s="126"/>
      <c r="XI25" s="126"/>
      <c r="XJ25" s="126"/>
      <c r="XK25" s="126"/>
      <c r="XL25" s="126"/>
      <c r="XM25" s="126"/>
      <c r="XN25" s="126"/>
      <c r="XO25" s="126"/>
      <c r="XP25" s="126"/>
      <c r="XQ25" s="126"/>
      <c r="XR25" s="126"/>
      <c r="XS25" s="126"/>
      <c r="XT25" s="126"/>
      <c r="XU25" s="126"/>
      <c r="XV25" s="126"/>
      <c r="XW25" s="126"/>
      <c r="XX25" s="126"/>
      <c r="XY25" s="126"/>
      <c r="XZ25" s="126"/>
      <c r="YA25" s="126"/>
      <c r="YB25" s="126"/>
      <c r="YC25" s="126"/>
      <c r="YD25" s="126"/>
      <c r="YE25" s="126"/>
      <c r="YF25" s="126"/>
      <c r="YG25" s="126"/>
      <c r="YH25" s="126"/>
      <c r="YI25" s="126"/>
      <c r="YJ25" s="126"/>
      <c r="YK25" s="126"/>
      <c r="YL25" s="126"/>
      <c r="YM25" s="126"/>
      <c r="YN25" s="126"/>
      <c r="YO25" s="126"/>
      <c r="YP25" s="126"/>
      <c r="YQ25" s="126"/>
      <c r="YR25" s="126"/>
      <c r="YS25" s="126"/>
      <c r="YT25" s="126"/>
      <c r="YU25" s="126"/>
      <c r="YV25" s="126"/>
      <c r="YW25" s="126"/>
      <c r="YX25" s="126"/>
      <c r="YY25" s="126"/>
      <c r="YZ25" s="126"/>
      <c r="ZA25" s="126"/>
      <c r="ZB25" s="126"/>
      <c r="ZC25" s="126"/>
      <c r="ZD25" s="126"/>
      <c r="ZE25" s="126"/>
      <c r="ZF25" s="126"/>
      <c r="ZG25" s="126"/>
      <c r="ZH25" s="126"/>
      <c r="ZI25" s="126"/>
      <c r="ZJ25" s="126"/>
      <c r="ZK25" s="126"/>
      <c r="ZL25" s="126"/>
      <c r="ZM25" s="126"/>
      <c r="ZN25" s="126"/>
      <c r="ZO25" s="126"/>
      <c r="ZP25" s="126"/>
      <c r="ZQ25" s="126"/>
      <c r="ZR25" s="126"/>
      <c r="ZS25" s="126"/>
      <c r="ZT25" s="126"/>
      <c r="ZU25" s="126"/>
      <c r="ZV25" s="126"/>
      <c r="ZW25" s="126"/>
      <c r="ZX25" s="126"/>
      <c r="ZY25" s="126"/>
      <c r="ZZ25" s="126"/>
      <c r="AAA25" s="126"/>
      <c r="AAB25" s="126"/>
      <c r="AAC25" s="126"/>
      <c r="AAD25" s="126"/>
      <c r="AAE25" s="126"/>
      <c r="AAF25" s="126"/>
      <c r="AAG25" s="126"/>
      <c r="AAH25" s="126"/>
      <c r="AAI25" s="126"/>
      <c r="AAJ25" s="126"/>
      <c r="AAK25" s="126"/>
      <c r="AAL25" s="126"/>
      <c r="AAM25" s="126"/>
      <c r="AAN25" s="126"/>
      <c r="AAO25" s="126"/>
      <c r="AAP25" s="126"/>
      <c r="AAQ25" s="126"/>
      <c r="AAR25" s="126"/>
      <c r="AAS25" s="126"/>
      <c r="AAT25" s="126"/>
      <c r="AAU25" s="126"/>
      <c r="AAV25" s="126"/>
      <c r="AAW25" s="126"/>
      <c r="AAX25" s="126"/>
      <c r="AAY25" s="126"/>
      <c r="AAZ25" s="126"/>
      <c r="ABA25" s="126"/>
      <c r="ABB25" s="126"/>
      <c r="ABC25" s="126"/>
      <c r="ABD25" s="126"/>
      <c r="ABE25" s="126"/>
      <c r="ABF25" s="126"/>
      <c r="ABG25" s="126"/>
      <c r="ABH25" s="126"/>
      <c r="ABI25" s="126"/>
      <c r="ABJ25" s="126"/>
      <c r="ABK25" s="126"/>
      <c r="ABL25" s="126"/>
      <c r="ABM25" s="126"/>
      <c r="ABN25" s="126"/>
      <c r="ABO25" s="126"/>
      <c r="ABP25" s="126"/>
      <c r="ABQ25" s="126"/>
      <c r="ABR25" s="126"/>
      <c r="ABS25" s="126"/>
      <c r="ABT25" s="126"/>
      <c r="ABU25" s="126"/>
      <c r="ABV25" s="126"/>
      <c r="ABW25" s="126"/>
      <c r="ABX25" s="126"/>
      <c r="ABY25" s="126"/>
      <c r="ABZ25" s="126"/>
      <c r="ACA25" s="126"/>
      <c r="ACB25" s="126"/>
      <c r="ACC25" s="126"/>
      <c r="ACD25" s="126"/>
      <c r="ACE25" s="126"/>
      <c r="ACF25" s="126"/>
      <c r="ACG25" s="126"/>
      <c r="ACH25" s="126"/>
      <c r="ACI25" s="126"/>
      <c r="ACJ25" s="126"/>
      <c r="ACK25" s="126"/>
      <c r="ACL25" s="126"/>
      <c r="ACM25" s="126"/>
      <c r="ACN25" s="126"/>
      <c r="ACO25" s="126"/>
      <c r="ACP25" s="126"/>
      <c r="ACQ25" s="126"/>
      <c r="ACR25" s="126"/>
      <c r="ACS25" s="126"/>
      <c r="ACT25" s="126"/>
      <c r="ACU25" s="126"/>
      <c r="ACV25" s="126"/>
      <c r="ACW25" s="126"/>
      <c r="ACX25" s="126"/>
      <c r="ACY25" s="126"/>
      <c r="ACZ25" s="126"/>
      <c r="ADA25" s="126"/>
      <c r="ADB25" s="126"/>
      <c r="ADC25" s="126"/>
      <c r="ADD25" s="126"/>
      <c r="ADE25" s="126"/>
      <c r="ADF25" s="126"/>
      <c r="ADG25" s="126"/>
      <c r="ADH25" s="126"/>
      <c r="ADI25" s="126"/>
      <c r="ADJ25" s="126"/>
      <c r="ADK25" s="126"/>
      <c r="ADL25" s="126"/>
      <c r="ADM25" s="126"/>
      <c r="ADN25" s="126"/>
      <c r="ADO25" s="126"/>
      <c r="ADP25" s="126"/>
      <c r="ADQ25" s="126"/>
      <c r="ADR25" s="126"/>
      <c r="ADS25" s="126"/>
      <c r="ADT25" s="126"/>
      <c r="ADU25" s="126"/>
      <c r="ADV25" s="126"/>
      <c r="ADW25" s="126"/>
      <c r="ADX25" s="126"/>
      <c r="ADY25" s="126"/>
      <c r="ADZ25" s="126"/>
      <c r="AEA25" s="126"/>
      <c r="AEB25" s="126"/>
      <c r="AEC25" s="126"/>
      <c r="AED25" s="126"/>
      <c r="AEE25" s="126"/>
      <c r="AEF25" s="126"/>
      <c r="AEG25" s="126"/>
      <c r="AEH25" s="126"/>
      <c r="AEI25" s="126"/>
      <c r="AEJ25" s="126"/>
      <c r="AEK25" s="126"/>
      <c r="AEL25" s="126"/>
      <c r="AEM25" s="126"/>
      <c r="AEN25" s="126"/>
      <c r="AEO25" s="126"/>
      <c r="AEP25" s="126"/>
      <c r="AEQ25" s="126"/>
      <c r="AER25" s="126"/>
      <c r="AES25" s="126"/>
      <c r="AET25" s="126"/>
      <c r="AEU25" s="126"/>
      <c r="AEV25" s="126"/>
      <c r="AEW25" s="126"/>
      <c r="AEX25" s="126"/>
      <c r="AEY25" s="126"/>
      <c r="AEZ25" s="126"/>
      <c r="AFA25" s="126"/>
      <c r="AFB25" s="126"/>
      <c r="AFC25" s="126"/>
      <c r="AFD25" s="126"/>
      <c r="AFE25" s="126"/>
      <c r="AFF25" s="126"/>
      <c r="AFG25" s="126"/>
      <c r="AFH25" s="126"/>
      <c r="AFI25" s="126"/>
      <c r="AFJ25" s="126"/>
      <c r="AFK25" s="126"/>
      <c r="AFL25" s="126"/>
      <c r="AFM25" s="126"/>
      <c r="AFN25" s="126"/>
      <c r="AFO25" s="126"/>
      <c r="AFP25" s="126"/>
      <c r="AFQ25" s="126"/>
      <c r="AFR25" s="126"/>
      <c r="AFS25" s="126"/>
      <c r="AFT25" s="126"/>
      <c r="AFU25" s="126"/>
      <c r="AFV25" s="126"/>
      <c r="AFW25" s="126"/>
      <c r="AFX25" s="126"/>
      <c r="AFY25" s="126"/>
      <c r="AFZ25" s="126"/>
      <c r="AGA25" s="126"/>
      <c r="AGB25" s="126"/>
      <c r="AGC25" s="126"/>
      <c r="AGD25" s="126"/>
      <c r="AGE25" s="126"/>
      <c r="AGF25" s="126"/>
      <c r="AGG25" s="126"/>
      <c r="AGH25" s="126"/>
      <c r="AGI25" s="126"/>
      <c r="AGJ25" s="126"/>
      <c r="AGK25" s="126"/>
      <c r="AGL25" s="126"/>
      <c r="AGM25" s="126"/>
      <c r="AGN25" s="126"/>
      <c r="AGO25" s="126"/>
      <c r="AGP25" s="126"/>
      <c r="AGQ25" s="126"/>
      <c r="AGR25" s="126"/>
      <c r="AGS25" s="126"/>
      <c r="AGT25" s="126"/>
      <c r="AGU25" s="126"/>
      <c r="AGV25" s="126"/>
      <c r="AGW25" s="126"/>
      <c r="AGX25" s="126"/>
      <c r="AGY25" s="126"/>
      <c r="AGZ25" s="126"/>
      <c r="AHA25" s="126"/>
      <c r="AHB25" s="126"/>
      <c r="AHC25" s="126"/>
      <c r="AHD25" s="126"/>
      <c r="AHE25" s="126"/>
      <c r="AHF25" s="126"/>
      <c r="AHG25" s="126"/>
      <c r="AHH25" s="126"/>
      <c r="AHI25" s="126"/>
      <c r="AHJ25" s="126"/>
      <c r="AHK25" s="126"/>
      <c r="AHL25" s="126"/>
      <c r="AHM25" s="126"/>
      <c r="AHN25" s="126"/>
      <c r="AHO25" s="126"/>
      <c r="AHP25" s="126"/>
      <c r="AHQ25" s="126"/>
      <c r="AHR25" s="126"/>
      <c r="AHS25" s="126"/>
      <c r="AHT25" s="126"/>
      <c r="AHU25" s="126"/>
      <c r="AHV25" s="126"/>
      <c r="AHW25" s="126"/>
      <c r="AHX25" s="126"/>
      <c r="AHY25" s="126"/>
      <c r="AHZ25" s="126"/>
      <c r="AIA25" s="126"/>
      <c r="AIB25" s="126"/>
      <c r="AIC25" s="126"/>
      <c r="AID25" s="126"/>
      <c r="AIE25" s="126"/>
      <c r="AIF25" s="126"/>
      <c r="AIG25" s="126"/>
      <c r="AIH25" s="126"/>
      <c r="AII25" s="126"/>
      <c r="AIJ25" s="126"/>
      <c r="AIK25" s="126"/>
      <c r="AIL25" s="126"/>
      <c r="AIM25" s="126"/>
      <c r="AIN25" s="126"/>
      <c r="AIO25" s="126"/>
      <c r="AIP25" s="126"/>
      <c r="AIQ25" s="126"/>
      <c r="AIR25" s="126"/>
      <c r="AIS25" s="126"/>
      <c r="AIT25" s="126"/>
      <c r="AIU25" s="126"/>
      <c r="AIV25" s="126"/>
      <c r="AIW25" s="126"/>
      <c r="AIX25" s="126"/>
      <c r="AIY25" s="126"/>
      <c r="AIZ25" s="126"/>
      <c r="AJA25" s="126"/>
      <c r="AJB25" s="126"/>
      <c r="AJC25" s="126"/>
      <c r="AJD25" s="126"/>
      <c r="AJE25" s="126"/>
      <c r="AJF25" s="126"/>
      <c r="AJG25" s="126"/>
      <c r="AJH25" s="126"/>
      <c r="AJI25" s="126"/>
      <c r="AJJ25" s="126"/>
      <c r="AJK25" s="126"/>
      <c r="AJL25" s="126"/>
      <c r="AJM25" s="126"/>
      <c r="AJN25" s="126"/>
      <c r="AJO25" s="126"/>
      <c r="AJP25" s="126"/>
      <c r="AJQ25" s="126"/>
      <c r="AJR25" s="126"/>
      <c r="AJS25" s="126"/>
      <c r="AJT25" s="126"/>
      <c r="AJU25" s="126"/>
      <c r="AJV25" s="126"/>
      <c r="AJW25" s="126"/>
      <c r="AJX25" s="126"/>
      <c r="AJY25" s="126"/>
      <c r="AJZ25" s="126"/>
      <c r="AKA25" s="126"/>
      <c r="AKB25" s="126"/>
      <c r="AKC25" s="126"/>
      <c r="AKD25" s="126"/>
      <c r="AKE25" s="126"/>
      <c r="AKF25" s="126"/>
      <c r="AKG25" s="126"/>
      <c r="AKH25" s="126"/>
      <c r="AKI25" s="126"/>
      <c r="AKJ25" s="126"/>
      <c r="AKK25" s="126"/>
      <c r="AKL25" s="126"/>
      <c r="AKM25" s="126"/>
      <c r="AKN25" s="126"/>
      <c r="AKO25" s="126"/>
      <c r="AKP25" s="126"/>
      <c r="AKQ25" s="126"/>
      <c r="AKR25" s="126"/>
      <c r="AKS25" s="126"/>
      <c r="AKT25" s="126"/>
      <c r="AKU25" s="126"/>
      <c r="AKV25" s="126"/>
      <c r="AKW25" s="126"/>
      <c r="AKX25" s="126"/>
      <c r="AKY25" s="126"/>
      <c r="AKZ25" s="126"/>
      <c r="ALA25" s="126"/>
      <c r="ALB25" s="126"/>
      <c r="ALC25" s="126"/>
      <c r="ALD25" s="126"/>
      <c r="ALE25" s="126"/>
      <c r="ALF25" s="126"/>
      <c r="ALG25" s="126"/>
      <c r="ALH25" s="126"/>
      <c r="ALI25" s="126"/>
      <c r="ALJ25" s="126"/>
      <c r="ALK25" s="126"/>
      <c r="ALL25" s="126"/>
      <c r="ALM25" s="126"/>
      <c r="ALN25" s="126"/>
      <c r="ALO25" s="126"/>
      <c r="ALP25" s="126"/>
      <c r="ALQ25" s="126"/>
      <c r="ALR25" s="126"/>
      <c r="ALS25" s="126"/>
      <c r="ALT25" s="126"/>
      <c r="ALU25" s="126"/>
      <c r="ALV25" s="126"/>
      <c r="ALW25" s="126"/>
      <c r="ALX25" s="126"/>
      <c r="ALY25" s="126"/>
      <c r="ALZ25" s="126"/>
      <c r="AMA25" s="126"/>
      <c r="AMB25" s="126"/>
      <c r="AMC25" s="126"/>
      <c r="AMD25" s="126"/>
      <c r="AME25" s="126"/>
      <c r="AMF25" s="126"/>
      <c r="AMG25" s="126"/>
      <c r="AMH25" s="126"/>
      <c r="AMI25" s="126"/>
      <c r="AMJ25" s="126"/>
      <c r="AMK25" s="126"/>
    </row>
    <row r="26" spans="1:1025" x14ac:dyDescent="0.25">
      <c r="A26" s="126"/>
      <c r="B26" s="234" t="s">
        <v>291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233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  <c r="IR26" s="126"/>
      <c r="IS26" s="126"/>
      <c r="IT26" s="126"/>
      <c r="IU26" s="126"/>
      <c r="IV26" s="126"/>
      <c r="IW26" s="126"/>
      <c r="IX26" s="126"/>
      <c r="IY26" s="126"/>
      <c r="IZ26" s="126"/>
      <c r="JA26" s="126"/>
      <c r="JB26" s="126"/>
      <c r="JC26" s="126"/>
      <c r="JD26" s="126"/>
      <c r="JE26" s="126"/>
      <c r="JF26" s="126"/>
      <c r="JG26" s="126"/>
      <c r="JH26" s="126"/>
      <c r="JI26" s="126"/>
      <c r="JJ26" s="126"/>
      <c r="JK26" s="126"/>
      <c r="JL26" s="126"/>
      <c r="JM26" s="126"/>
      <c r="JN26" s="126"/>
      <c r="JO26" s="126"/>
      <c r="JP26" s="126"/>
      <c r="JQ26" s="126"/>
      <c r="JR26" s="126"/>
      <c r="JS26" s="126"/>
      <c r="JT26" s="126"/>
      <c r="JU26" s="126"/>
      <c r="JV26" s="126"/>
      <c r="JW26" s="126"/>
      <c r="JX26" s="126"/>
      <c r="JY26" s="126"/>
      <c r="JZ26" s="126"/>
      <c r="KA26" s="126"/>
      <c r="KB26" s="126"/>
      <c r="KC26" s="126"/>
      <c r="KD26" s="126"/>
      <c r="KE26" s="126"/>
      <c r="KF26" s="126"/>
      <c r="KG26" s="126"/>
      <c r="KH26" s="126"/>
      <c r="KI26" s="126"/>
      <c r="KJ26" s="126"/>
      <c r="KK26" s="126"/>
      <c r="KL26" s="126"/>
      <c r="KM26" s="126"/>
      <c r="KN26" s="126"/>
      <c r="KO26" s="126"/>
      <c r="KP26" s="126"/>
      <c r="KQ26" s="126"/>
      <c r="KR26" s="126"/>
      <c r="KS26" s="126"/>
      <c r="KT26" s="126"/>
      <c r="KU26" s="126"/>
      <c r="KV26" s="126"/>
      <c r="KW26" s="126"/>
      <c r="KX26" s="126"/>
      <c r="KY26" s="126"/>
      <c r="KZ26" s="126"/>
      <c r="LA26" s="126"/>
      <c r="LB26" s="126"/>
      <c r="LC26" s="126"/>
      <c r="LD26" s="126"/>
      <c r="LE26" s="126"/>
      <c r="LF26" s="126"/>
      <c r="LG26" s="126"/>
      <c r="LH26" s="126"/>
      <c r="LI26" s="126"/>
      <c r="LJ26" s="126"/>
      <c r="LK26" s="126"/>
      <c r="LL26" s="126"/>
      <c r="LM26" s="126"/>
      <c r="LN26" s="126"/>
      <c r="LO26" s="126"/>
      <c r="LP26" s="126"/>
      <c r="LQ26" s="126"/>
      <c r="LR26" s="126"/>
      <c r="LS26" s="126"/>
      <c r="LT26" s="126"/>
      <c r="LU26" s="126"/>
      <c r="LV26" s="126"/>
      <c r="LW26" s="126"/>
      <c r="LX26" s="126"/>
      <c r="LY26" s="126"/>
      <c r="LZ26" s="126"/>
      <c r="MA26" s="126"/>
      <c r="MB26" s="126"/>
      <c r="MC26" s="126"/>
      <c r="MD26" s="126"/>
      <c r="ME26" s="126"/>
      <c r="MF26" s="126"/>
      <c r="MG26" s="126"/>
      <c r="MH26" s="126"/>
      <c r="MI26" s="126"/>
      <c r="MJ26" s="126"/>
      <c r="MK26" s="126"/>
      <c r="ML26" s="126"/>
      <c r="MM26" s="126"/>
      <c r="MN26" s="126"/>
      <c r="MO26" s="126"/>
      <c r="MP26" s="126"/>
      <c r="MQ26" s="126"/>
      <c r="MR26" s="126"/>
      <c r="MS26" s="126"/>
      <c r="MT26" s="126"/>
      <c r="MU26" s="126"/>
      <c r="MV26" s="126"/>
      <c r="MW26" s="126"/>
      <c r="MX26" s="126"/>
      <c r="MY26" s="126"/>
      <c r="MZ26" s="126"/>
      <c r="NA26" s="126"/>
      <c r="NB26" s="126"/>
      <c r="NC26" s="126"/>
      <c r="ND26" s="126"/>
      <c r="NE26" s="126"/>
      <c r="NF26" s="126"/>
      <c r="NG26" s="126"/>
      <c r="NH26" s="126"/>
      <c r="NI26" s="126"/>
      <c r="NJ26" s="126"/>
      <c r="NK26" s="126"/>
      <c r="NL26" s="126"/>
      <c r="NM26" s="126"/>
      <c r="NN26" s="126"/>
      <c r="NO26" s="126"/>
      <c r="NP26" s="126"/>
      <c r="NQ26" s="126"/>
      <c r="NR26" s="126"/>
      <c r="NS26" s="126"/>
      <c r="NT26" s="126"/>
      <c r="NU26" s="126"/>
      <c r="NV26" s="126"/>
      <c r="NW26" s="126"/>
      <c r="NX26" s="126"/>
      <c r="NY26" s="126"/>
      <c r="NZ26" s="126"/>
      <c r="OA26" s="126"/>
      <c r="OB26" s="126"/>
      <c r="OC26" s="126"/>
      <c r="OD26" s="126"/>
      <c r="OE26" s="126"/>
      <c r="OF26" s="126"/>
      <c r="OG26" s="126"/>
      <c r="OH26" s="126"/>
      <c r="OI26" s="126"/>
      <c r="OJ26" s="126"/>
      <c r="OK26" s="126"/>
      <c r="OL26" s="126"/>
      <c r="OM26" s="126"/>
      <c r="ON26" s="126"/>
      <c r="OO26" s="126"/>
      <c r="OP26" s="126"/>
      <c r="OQ26" s="126"/>
      <c r="OR26" s="126"/>
      <c r="OS26" s="126"/>
      <c r="OT26" s="126"/>
      <c r="OU26" s="126"/>
      <c r="OV26" s="126"/>
      <c r="OW26" s="126"/>
      <c r="OX26" s="126"/>
      <c r="OY26" s="126"/>
      <c r="OZ26" s="126"/>
      <c r="PA26" s="126"/>
      <c r="PB26" s="126"/>
      <c r="PC26" s="126"/>
      <c r="PD26" s="126"/>
      <c r="PE26" s="126"/>
      <c r="PF26" s="126"/>
      <c r="PG26" s="126"/>
      <c r="PH26" s="126"/>
      <c r="PI26" s="126"/>
      <c r="PJ26" s="126"/>
      <c r="PK26" s="126"/>
      <c r="PL26" s="126"/>
      <c r="PM26" s="126"/>
      <c r="PN26" s="126"/>
      <c r="PO26" s="126"/>
      <c r="PP26" s="126"/>
      <c r="PQ26" s="126"/>
      <c r="PR26" s="126"/>
      <c r="PS26" s="126"/>
      <c r="PT26" s="126"/>
      <c r="PU26" s="126"/>
      <c r="PV26" s="126"/>
      <c r="PW26" s="126"/>
      <c r="PX26" s="126"/>
      <c r="PY26" s="126"/>
      <c r="PZ26" s="126"/>
      <c r="QA26" s="126"/>
      <c r="QB26" s="126"/>
      <c r="QC26" s="126"/>
      <c r="QD26" s="126"/>
      <c r="QE26" s="126"/>
      <c r="QF26" s="126"/>
      <c r="QG26" s="126"/>
      <c r="QH26" s="126"/>
      <c r="QI26" s="126"/>
      <c r="QJ26" s="126"/>
      <c r="QK26" s="126"/>
      <c r="QL26" s="126"/>
      <c r="QM26" s="126"/>
      <c r="QN26" s="126"/>
      <c r="QO26" s="126"/>
      <c r="QP26" s="126"/>
      <c r="QQ26" s="126"/>
      <c r="QR26" s="126"/>
      <c r="QS26" s="126"/>
      <c r="QT26" s="126"/>
      <c r="QU26" s="126"/>
      <c r="QV26" s="126"/>
      <c r="QW26" s="126"/>
      <c r="QX26" s="126"/>
      <c r="QY26" s="126"/>
      <c r="QZ26" s="126"/>
      <c r="RA26" s="126"/>
      <c r="RB26" s="126"/>
      <c r="RC26" s="126"/>
      <c r="RD26" s="126"/>
      <c r="RE26" s="126"/>
      <c r="RF26" s="126"/>
      <c r="RG26" s="126"/>
      <c r="RH26" s="126"/>
      <c r="RI26" s="126"/>
      <c r="RJ26" s="126"/>
      <c r="RK26" s="126"/>
      <c r="RL26" s="126"/>
      <c r="RM26" s="126"/>
      <c r="RN26" s="126"/>
      <c r="RO26" s="126"/>
      <c r="RP26" s="126"/>
      <c r="RQ26" s="126"/>
      <c r="RR26" s="126"/>
      <c r="RS26" s="126"/>
      <c r="RT26" s="126"/>
      <c r="RU26" s="126"/>
      <c r="RV26" s="126"/>
      <c r="RW26" s="126"/>
      <c r="RX26" s="126"/>
      <c r="RY26" s="126"/>
      <c r="RZ26" s="126"/>
      <c r="SA26" s="126"/>
      <c r="SB26" s="126"/>
      <c r="SC26" s="126"/>
      <c r="SD26" s="126"/>
      <c r="SE26" s="126"/>
      <c r="SF26" s="126"/>
      <c r="SG26" s="126"/>
      <c r="SH26" s="126"/>
      <c r="SI26" s="126"/>
      <c r="SJ26" s="126"/>
      <c r="SK26" s="126"/>
      <c r="SL26" s="126"/>
      <c r="SM26" s="126"/>
      <c r="SN26" s="126"/>
      <c r="SO26" s="126"/>
      <c r="SP26" s="126"/>
      <c r="SQ26" s="126"/>
      <c r="SR26" s="126"/>
      <c r="SS26" s="126"/>
      <c r="ST26" s="126"/>
      <c r="SU26" s="126"/>
      <c r="SV26" s="126"/>
      <c r="SW26" s="126"/>
      <c r="SX26" s="126"/>
      <c r="SY26" s="126"/>
      <c r="SZ26" s="126"/>
      <c r="TA26" s="126"/>
      <c r="TB26" s="126"/>
      <c r="TC26" s="126"/>
      <c r="TD26" s="126"/>
      <c r="TE26" s="126"/>
      <c r="TF26" s="126"/>
      <c r="TG26" s="126"/>
      <c r="TH26" s="126"/>
      <c r="TI26" s="126"/>
      <c r="TJ26" s="126"/>
      <c r="TK26" s="126"/>
      <c r="TL26" s="126"/>
      <c r="TM26" s="126"/>
      <c r="TN26" s="126"/>
      <c r="TO26" s="126"/>
      <c r="TP26" s="126"/>
      <c r="TQ26" s="126"/>
      <c r="TR26" s="126"/>
      <c r="TS26" s="126"/>
      <c r="TT26" s="126"/>
      <c r="TU26" s="126"/>
      <c r="TV26" s="126"/>
      <c r="TW26" s="126"/>
      <c r="TX26" s="126"/>
      <c r="TY26" s="126"/>
      <c r="TZ26" s="126"/>
      <c r="UA26" s="126"/>
      <c r="UB26" s="126"/>
      <c r="UC26" s="126"/>
      <c r="UD26" s="126"/>
      <c r="UE26" s="126"/>
      <c r="UF26" s="126"/>
      <c r="UG26" s="126"/>
      <c r="UH26" s="126"/>
      <c r="UI26" s="126"/>
      <c r="UJ26" s="126"/>
      <c r="UK26" s="126"/>
      <c r="UL26" s="126"/>
      <c r="UM26" s="126"/>
      <c r="UN26" s="126"/>
      <c r="UO26" s="126"/>
      <c r="UP26" s="126"/>
      <c r="UQ26" s="126"/>
      <c r="UR26" s="126"/>
      <c r="US26" s="126"/>
      <c r="UT26" s="126"/>
      <c r="UU26" s="126"/>
      <c r="UV26" s="126"/>
      <c r="UW26" s="126"/>
      <c r="UX26" s="126"/>
      <c r="UY26" s="126"/>
      <c r="UZ26" s="126"/>
      <c r="VA26" s="126"/>
      <c r="VB26" s="126"/>
      <c r="VC26" s="126"/>
      <c r="VD26" s="126"/>
      <c r="VE26" s="126"/>
      <c r="VF26" s="126"/>
      <c r="VG26" s="126"/>
      <c r="VH26" s="126"/>
      <c r="VI26" s="126"/>
      <c r="VJ26" s="126"/>
      <c r="VK26" s="126"/>
      <c r="VL26" s="126"/>
      <c r="VM26" s="126"/>
      <c r="VN26" s="126"/>
      <c r="VO26" s="126"/>
      <c r="VP26" s="126"/>
      <c r="VQ26" s="126"/>
      <c r="VR26" s="126"/>
      <c r="VS26" s="126"/>
      <c r="VT26" s="126"/>
      <c r="VU26" s="126"/>
      <c r="VV26" s="126"/>
      <c r="VW26" s="126"/>
      <c r="VX26" s="126"/>
      <c r="VY26" s="126"/>
      <c r="VZ26" s="126"/>
      <c r="WA26" s="126"/>
      <c r="WB26" s="126"/>
      <c r="WC26" s="126"/>
      <c r="WD26" s="126"/>
      <c r="WE26" s="126"/>
      <c r="WF26" s="126"/>
      <c r="WG26" s="126"/>
      <c r="WH26" s="126"/>
      <c r="WI26" s="126"/>
      <c r="WJ26" s="126"/>
      <c r="WK26" s="126"/>
      <c r="WL26" s="126"/>
      <c r="WM26" s="126"/>
      <c r="WN26" s="126"/>
      <c r="WO26" s="126"/>
      <c r="WP26" s="126"/>
      <c r="WQ26" s="126"/>
      <c r="WR26" s="126"/>
      <c r="WS26" s="126"/>
      <c r="WT26" s="126"/>
      <c r="WU26" s="126"/>
      <c r="WV26" s="126"/>
      <c r="WW26" s="126"/>
      <c r="WX26" s="126"/>
      <c r="WY26" s="126"/>
      <c r="WZ26" s="126"/>
      <c r="XA26" s="126"/>
      <c r="XB26" s="126"/>
      <c r="XC26" s="126"/>
      <c r="XD26" s="126"/>
      <c r="XE26" s="126"/>
      <c r="XF26" s="126"/>
      <c r="XG26" s="126"/>
      <c r="XH26" s="126"/>
      <c r="XI26" s="126"/>
      <c r="XJ26" s="126"/>
      <c r="XK26" s="126"/>
      <c r="XL26" s="126"/>
      <c r="XM26" s="126"/>
      <c r="XN26" s="126"/>
      <c r="XO26" s="126"/>
      <c r="XP26" s="126"/>
      <c r="XQ26" s="126"/>
      <c r="XR26" s="126"/>
      <c r="XS26" s="126"/>
      <c r="XT26" s="126"/>
      <c r="XU26" s="126"/>
      <c r="XV26" s="126"/>
      <c r="XW26" s="126"/>
      <c r="XX26" s="126"/>
      <c r="XY26" s="126"/>
      <c r="XZ26" s="126"/>
      <c r="YA26" s="126"/>
      <c r="YB26" s="126"/>
      <c r="YC26" s="126"/>
      <c r="YD26" s="126"/>
      <c r="YE26" s="126"/>
      <c r="YF26" s="126"/>
      <c r="YG26" s="126"/>
      <c r="YH26" s="126"/>
      <c r="YI26" s="126"/>
      <c r="YJ26" s="126"/>
      <c r="YK26" s="126"/>
      <c r="YL26" s="126"/>
      <c r="YM26" s="126"/>
      <c r="YN26" s="126"/>
      <c r="YO26" s="126"/>
      <c r="YP26" s="126"/>
      <c r="YQ26" s="126"/>
      <c r="YR26" s="126"/>
      <c r="YS26" s="126"/>
      <c r="YT26" s="126"/>
      <c r="YU26" s="126"/>
      <c r="YV26" s="126"/>
      <c r="YW26" s="126"/>
      <c r="YX26" s="126"/>
      <c r="YY26" s="126"/>
      <c r="YZ26" s="126"/>
      <c r="ZA26" s="126"/>
      <c r="ZB26" s="126"/>
      <c r="ZC26" s="126"/>
      <c r="ZD26" s="126"/>
      <c r="ZE26" s="126"/>
      <c r="ZF26" s="126"/>
      <c r="ZG26" s="126"/>
      <c r="ZH26" s="126"/>
      <c r="ZI26" s="126"/>
      <c r="ZJ26" s="126"/>
      <c r="ZK26" s="126"/>
      <c r="ZL26" s="126"/>
      <c r="ZM26" s="126"/>
      <c r="ZN26" s="126"/>
      <c r="ZO26" s="126"/>
      <c r="ZP26" s="126"/>
      <c r="ZQ26" s="126"/>
      <c r="ZR26" s="126"/>
      <c r="ZS26" s="126"/>
      <c r="ZT26" s="126"/>
      <c r="ZU26" s="126"/>
      <c r="ZV26" s="126"/>
      <c r="ZW26" s="126"/>
      <c r="ZX26" s="126"/>
      <c r="ZY26" s="126"/>
      <c r="ZZ26" s="126"/>
      <c r="AAA26" s="126"/>
      <c r="AAB26" s="126"/>
      <c r="AAC26" s="126"/>
      <c r="AAD26" s="126"/>
      <c r="AAE26" s="126"/>
      <c r="AAF26" s="126"/>
      <c r="AAG26" s="126"/>
      <c r="AAH26" s="126"/>
      <c r="AAI26" s="126"/>
      <c r="AAJ26" s="126"/>
      <c r="AAK26" s="126"/>
      <c r="AAL26" s="126"/>
      <c r="AAM26" s="126"/>
      <c r="AAN26" s="126"/>
      <c r="AAO26" s="126"/>
      <c r="AAP26" s="126"/>
      <c r="AAQ26" s="126"/>
      <c r="AAR26" s="126"/>
      <c r="AAS26" s="126"/>
      <c r="AAT26" s="126"/>
      <c r="AAU26" s="126"/>
      <c r="AAV26" s="126"/>
      <c r="AAW26" s="126"/>
      <c r="AAX26" s="126"/>
      <c r="AAY26" s="126"/>
      <c r="AAZ26" s="126"/>
      <c r="ABA26" s="126"/>
      <c r="ABB26" s="126"/>
      <c r="ABC26" s="126"/>
      <c r="ABD26" s="126"/>
      <c r="ABE26" s="126"/>
      <c r="ABF26" s="126"/>
      <c r="ABG26" s="126"/>
      <c r="ABH26" s="126"/>
      <c r="ABI26" s="126"/>
      <c r="ABJ26" s="126"/>
      <c r="ABK26" s="126"/>
      <c r="ABL26" s="126"/>
      <c r="ABM26" s="126"/>
      <c r="ABN26" s="126"/>
      <c r="ABO26" s="126"/>
      <c r="ABP26" s="126"/>
      <c r="ABQ26" s="126"/>
      <c r="ABR26" s="126"/>
      <c r="ABS26" s="126"/>
      <c r="ABT26" s="126"/>
      <c r="ABU26" s="126"/>
      <c r="ABV26" s="126"/>
      <c r="ABW26" s="126"/>
      <c r="ABX26" s="126"/>
      <c r="ABY26" s="126"/>
      <c r="ABZ26" s="126"/>
      <c r="ACA26" s="126"/>
      <c r="ACB26" s="126"/>
      <c r="ACC26" s="126"/>
      <c r="ACD26" s="126"/>
      <c r="ACE26" s="126"/>
      <c r="ACF26" s="126"/>
      <c r="ACG26" s="126"/>
      <c r="ACH26" s="126"/>
      <c r="ACI26" s="126"/>
      <c r="ACJ26" s="126"/>
      <c r="ACK26" s="126"/>
      <c r="ACL26" s="126"/>
      <c r="ACM26" s="126"/>
      <c r="ACN26" s="126"/>
      <c r="ACO26" s="126"/>
      <c r="ACP26" s="126"/>
      <c r="ACQ26" s="126"/>
      <c r="ACR26" s="126"/>
      <c r="ACS26" s="126"/>
      <c r="ACT26" s="126"/>
      <c r="ACU26" s="126"/>
      <c r="ACV26" s="126"/>
      <c r="ACW26" s="126"/>
      <c r="ACX26" s="126"/>
      <c r="ACY26" s="126"/>
      <c r="ACZ26" s="126"/>
      <c r="ADA26" s="126"/>
      <c r="ADB26" s="126"/>
      <c r="ADC26" s="126"/>
      <c r="ADD26" s="126"/>
      <c r="ADE26" s="126"/>
      <c r="ADF26" s="126"/>
      <c r="ADG26" s="126"/>
      <c r="ADH26" s="126"/>
      <c r="ADI26" s="126"/>
      <c r="ADJ26" s="126"/>
      <c r="ADK26" s="126"/>
      <c r="ADL26" s="126"/>
      <c r="ADM26" s="126"/>
      <c r="ADN26" s="126"/>
      <c r="ADO26" s="126"/>
      <c r="ADP26" s="126"/>
      <c r="ADQ26" s="126"/>
      <c r="ADR26" s="126"/>
      <c r="ADS26" s="126"/>
      <c r="ADT26" s="126"/>
      <c r="ADU26" s="126"/>
      <c r="ADV26" s="126"/>
      <c r="ADW26" s="126"/>
      <c r="ADX26" s="126"/>
      <c r="ADY26" s="126"/>
      <c r="ADZ26" s="126"/>
      <c r="AEA26" s="126"/>
      <c r="AEB26" s="126"/>
      <c r="AEC26" s="126"/>
      <c r="AED26" s="126"/>
      <c r="AEE26" s="126"/>
      <c r="AEF26" s="126"/>
      <c r="AEG26" s="126"/>
      <c r="AEH26" s="126"/>
      <c r="AEI26" s="126"/>
      <c r="AEJ26" s="126"/>
      <c r="AEK26" s="126"/>
      <c r="AEL26" s="126"/>
      <c r="AEM26" s="126"/>
      <c r="AEN26" s="126"/>
      <c r="AEO26" s="126"/>
      <c r="AEP26" s="126"/>
      <c r="AEQ26" s="126"/>
      <c r="AER26" s="126"/>
      <c r="AES26" s="126"/>
      <c r="AET26" s="126"/>
      <c r="AEU26" s="126"/>
      <c r="AEV26" s="126"/>
      <c r="AEW26" s="126"/>
      <c r="AEX26" s="126"/>
      <c r="AEY26" s="126"/>
      <c r="AEZ26" s="126"/>
      <c r="AFA26" s="126"/>
      <c r="AFB26" s="126"/>
      <c r="AFC26" s="126"/>
      <c r="AFD26" s="126"/>
      <c r="AFE26" s="126"/>
      <c r="AFF26" s="126"/>
      <c r="AFG26" s="126"/>
      <c r="AFH26" s="126"/>
      <c r="AFI26" s="126"/>
      <c r="AFJ26" s="126"/>
      <c r="AFK26" s="126"/>
      <c r="AFL26" s="126"/>
      <c r="AFM26" s="126"/>
      <c r="AFN26" s="126"/>
      <c r="AFO26" s="126"/>
      <c r="AFP26" s="126"/>
      <c r="AFQ26" s="126"/>
      <c r="AFR26" s="126"/>
      <c r="AFS26" s="126"/>
      <c r="AFT26" s="126"/>
      <c r="AFU26" s="126"/>
      <c r="AFV26" s="126"/>
      <c r="AFW26" s="126"/>
      <c r="AFX26" s="126"/>
      <c r="AFY26" s="126"/>
      <c r="AFZ26" s="126"/>
      <c r="AGA26" s="126"/>
      <c r="AGB26" s="126"/>
      <c r="AGC26" s="126"/>
      <c r="AGD26" s="126"/>
      <c r="AGE26" s="126"/>
      <c r="AGF26" s="126"/>
      <c r="AGG26" s="126"/>
      <c r="AGH26" s="126"/>
      <c r="AGI26" s="126"/>
      <c r="AGJ26" s="126"/>
      <c r="AGK26" s="126"/>
      <c r="AGL26" s="126"/>
      <c r="AGM26" s="126"/>
      <c r="AGN26" s="126"/>
      <c r="AGO26" s="126"/>
      <c r="AGP26" s="126"/>
      <c r="AGQ26" s="126"/>
      <c r="AGR26" s="126"/>
      <c r="AGS26" s="126"/>
      <c r="AGT26" s="126"/>
      <c r="AGU26" s="126"/>
      <c r="AGV26" s="126"/>
      <c r="AGW26" s="126"/>
      <c r="AGX26" s="126"/>
      <c r="AGY26" s="126"/>
      <c r="AGZ26" s="126"/>
      <c r="AHA26" s="126"/>
      <c r="AHB26" s="126"/>
      <c r="AHC26" s="126"/>
      <c r="AHD26" s="126"/>
      <c r="AHE26" s="126"/>
      <c r="AHF26" s="126"/>
      <c r="AHG26" s="126"/>
      <c r="AHH26" s="126"/>
      <c r="AHI26" s="126"/>
      <c r="AHJ26" s="126"/>
      <c r="AHK26" s="126"/>
      <c r="AHL26" s="126"/>
      <c r="AHM26" s="126"/>
      <c r="AHN26" s="126"/>
      <c r="AHO26" s="126"/>
      <c r="AHP26" s="126"/>
      <c r="AHQ26" s="126"/>
      <c r="AHR26" s="126"/>
      <c r="AHS26" s="126"/>
      <c r="AHT26" s="126"/>
      <c r="AHU26" s="126"/>
      <c r="AHV26" s="126"/>
      <c r="AHW26" s="126"/>
      <c r="AHX26" s="126"/>
      <c r="AHY26" s="126"/>
      <c r="AHZ26" s="126"/>
      <c r="AIA26" s="126"/>
      <c r="AIB26" s="126"/>
      <c r="AIC26" s="126"/>
      <c r="AID26" s="126"/>
      <c r="AIE26" s="126"/>
      <c r="AIF26" s="126"/>
      <c r="AIG26" s="126"/>
      <c r="AIH26" s="126"/>
      <c r="AII26" s="126"/>
      <c r="AIJ26" s="126"/>
      <c r="AIK26" s="126"/>
      <c r="AIL26" s="126"/>
      <c r="AIM26" s="126"/>
      <c r="AIN26" s="126"/>
      <c r="AIO26" s="126"/>
      <c r="AIP26" s="126"/>
      <c r="AIQ26" s="126"/>
      <c r="AIR26" s="126"/>
      <c r="AIS26" s="126"/>
      <c r="AIT26" s="126"/>
      <c r="AIU26" s="126"/>
      <c r="AIV26" s="126"/>
      <c r="AIW26" s="126"/>
      <c r="AIX26" s="126"/>
      <c r="AIY26" s="126"/>
      <c r="AIZ26" s="126"/>
      <c r="AJA26" s="126"/>
      <c r="AJB26" s="126"/>
      <c r="AJC26" s="126"/>
      <c r="AJD26" s="126"/>
      <c r="AJE26" s="126"/>
      <c r="AJF26" s="126"/>
      <c r="AJG26" s="126"/>
      <c r="AJH26" s="126"/>
      <c r="AJI26" s="126"/>
      <c r="AJJ26" s="126"/>
      <c r="AJK26" s="126"/>
      <c r="AJL26" s="126"/>
      <c r="AJM26" s="126"/>
      <c r="AJN26" s="126"/>
      <c r="AJO26" s="126"/>
      <c r="AJP26" s="126"/>
      <c r="AJQ26" s="126"/>
      <c r="AJR26" s="126"/>
      <c r="AJS26" s="126"/>
      <c r="AJT26" s="126"/>
      <c r="AJU26" s="126"/>
      <c r="AJV26" s="126"/>
      <c r="AJW26" s="126"/>
      <c r="AJX26" s="126"/>
      <c r="AJY26" s="126"/>
      <c r="AJZ26" s="126"/>
      <c r="AKA26" s="126"/>
      <c r="AKB26" s="126"/>
      <c r="AKC26" s="126"/>
      <c r="AKD26" s="126"/>
      <c r="AKE26" s="126"/>
      <c r="AKF26" s="126"/>
      <c r="AKG26" s="126"/>
      <c r="AKH26" s="126"/>
      <c r="AKI26" s="126"/>
      <c r="AKJ26" s="126"/>
      <c r="AKK26" s="126"/>
      <c r="AKL26" s="126"/>
      <c r="AKM26" s="126"/>
      <c r="AKN26" s="126"/>
      <c r="AKO26" s="126"/>
      <c r="AKP26" s="126"/>
      <c r="AKQ26" s="126"/>
      <c r="AKR26" s="126"/>
      <c r="AKS26" s="126"/>
      <c r="AKT26" s="126"/>
      <c r="AKU26" s="126"/>
      <c r="AKV26" s="126"/>
      <c r="AKW26" s="126"/>
      <c r="AKX26" s="126"/>
      <c r="AKY26" s="126"/>
      <c r="AKZ26" s="126"/>
      <c r="ALA26" s="126"/>
      <c r="ALB26" s="126"/>
      <c r="ALC26" s="126"/>
      <c r="ALD26" s="126"/>
      <c r="ALE26" s="126"/>
      <c r="ALF26" s="126"/>
      <c r="ALG26" s="126"/>
      <c r="ALH26" s="126"/>
      <c r="ALI26" s="126"/>
      <c r="ALJ26" s="126"/>
      <c r="ALK26" s="126"/>
      <c r="ALL26" s="126"/>
      <c r="ALM26" s="126"/>
      <c r="ALN26" s="126"/>
      <c r="ALO26" s="126"/>
      <c r="ALP26" s="126"/>
      <c r="ALQ26" s="126"/>
      <c r="ALR26" s="126"/>
      <c r="ALS26" s="126"/>
      <c r="ALT26" s="126"/>
      <c r="ALU26" s="126"/>
      <c r="ALV26" s="126"/>
      <c r="ALW26" s="126"/>
      <c r="ALX26" s="126"/>
      <c r="ALY26" s="126"/>
      <c r="ALZ26" s="126"/>
      <c r="AMA26" s="126"/>
      <c r="AMB26" s="126"/>
      <c r="AMC26" s="126"/>
      <c r="AMD26" s="126"/>
      <c r="AME26" s="126"/>
      <c r="AMF26" s="126"/>
      <c r="AMG26" s="126"/>
      <c r="AMH26" s="126"/>
      <c r="AMI26" s="126"/>
      <c r="AMJ26" s="126"/>
      <c r="AMK26" s="126"/>
    </row>
    <row r="28" spans="1:1025" x14ac:dyDescent="0.25">
      <c r="B28" s="254" t="s">
        <v>294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</row>
    <row r="29" spans="1:1025" x14ac:dyDescent="0.25">
      <c r="B29" s="203" t="s">
        <v>250</v>
      </c>
    </row>
  </sheetData>
  <mergeCells count="8">
    <mergeCell ref="B28:L28"/>
    <mergeCell ref="A1:M1"/>
    <mergeCell ref="B5:C5"/>
    <mergeCell ref="E5:F5"/>
    <mergeCell ref="H5:I5"/>
    <mergeCell ref="K5:L5"/>
    <mergeCell ref="B22:L22"/>
    <mergeCell ref="B25:L25"/>
  </mergeCells>
  <conditionalFormatting sqref="I16 F16">
    <cfRule type="cellIs" dxfId="0" priority="2" operator="lessThan">
      <formula>0</formula>
    </cfRule>
  </conditionalFormatting>
  <dataValidations count="1">
    <dataValidation type="list" allowBlank="1" showInputMessage="1" showErrorMessage="1" sqref="F8 I8" xr:uid="{00000000-0002-0000-0400-000000000000}">
      <formula1>$N$7:$N$9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MK169"/>
  <sheetViews>
    <sheetView topLeftCell="A79" zoomScale="70" zoomScaleNormal="70" zoomScalePageLayoutView="60" workbookViewId="0">
      <selection activeCell="A86" sqref="A86"/>
    </sheetView>
  </sheetViews>
  <sheetFormatPr defaultRowHeight="13.2" x14ac:dyDescent="0.25"/>
  <cols>
    <col min="1" max="1025" width="9.109375" style="126" customWidth="1"/>
  </cols>
  <sheetData>
    <row r="1" spans="1:1" s="204" customFormat="1" ht="24.9" customHeight="1" x14ac:dyDescent="0.25">
      <c r="A1" s="204" t="s">
        <v>288</v>
      </c>
    </row>
    <row r="32" spans="1:1" s="232" customFormat="1" ht="24.9" customHeight="1" x14ac:dyDescent="0.25">
      <c r="A32" s="231"/>
    </row>
    <row r="33" spans="1:24" s="235" customFormat="1" ht="24.9" customHeight="1" x14ac:dyDescent="0.25">
      <c r="A33" s="204" t="s">
        <v>292</v>
      </c>
    </row>
    <row r="35" spans="1:24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s="235" customFormat="1" ht="24.9" customHeight="1" x14ac:dyDescent="0.25">
      <c r="A77" s="204" t="s">
        <v>293</v>
      </c>
    </row>
    <row r="127" spans="1:24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s="230" customFormat="1" ht="24.9" customHeight="1" x14ac:dyDescent="0.25">
      <c r="A169" s="229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AMK105"/>
  <sheetViews>
    <sheetView zoomScaleNormal="100" zoomScalePageLayoutView="60" workbookViewId="0"/>
  </sheetViews>
  <sheetFormatPr defaultRowHeight="13.2" x14ac:dyDescent="0.25"/>
  <cols>
    <col min="1" max="1" width="2.6640625" style="4" customWidth="1"/>
    <col min="2" max="2" width="9.109375" style="5" customWidth="1"/>
    <col min="3" max="3" width="10.6640625" style="205" customWidth="1"/>
    <col min="4" max="4" width="12.6640625" style="205" customWidth="1"/>
    <col min="5" max="11" width="10.6640625" style="205" customWidth="1"/>
    <col min="12" max="1025" width="9.109375" style="4" customWidth="1"/>
  </cols>
  <sheetData>
    <row r="2" spans="2:36" x14ac:dyDescent="0.25">
      <c r="E2" s="206"/>
      <c r="F2" s="206"/>
      <c r="G2" s="206"/>
      <c r="H2" s="206"/>
    </row>
    <row r="3" spans="2:36" x14ac:dyDescent="0.25">
      <c r="E3" s="207" t="s">
        <v>251</v>
      </c>
      <c r="F3" s="207"/>
      <c r="G3" s="207"/>
      <c r="H3" s="207"/>
    </row>
    <row r="6" spans="2:36" ht="30" customHeight="1" x14ac:dyDescent="0.25">
      <c r="C6" s="256" t="s">
        <v>252</v>
      </c>
      <c r="D6" s="256"/>
      <c r="E6" s="256"/>
      <c r="F6" s="256" t="s">
        <v>253</v>
      </c>
      <c r="G6" s="256"/>
      <c r="H6" s="256"/>
      <c r="I6" s="209" t="s">
        <v>254</v>
      </c>
      <c r="J6" s="209" t="s">
        <v>255</v>
      </c>
      <c r="AJ6" s="210" t="s">
        <v>256</v>
      </c>
    </row>
    <row r="7" spans="2:36" ht="14.4" customHeight="1" x14ac:dyDescent="0.25">
      <c r="B7" s="11" t="s">
        <v>177</v>
      </c>
      <c r="C7" s="208" t="s">
        <v>257</v>
      </c>
      <c r="D7" s="208" t="s">
        <v>258</v>
      </c>
      <c r="E7" s="208" t="s">
        <v>259</v>
      </c>
      <c r="F7" s="208" t="s">
        <v>257</v>
      </c>
      <c r="G7" s="208" t="s">
        <v>258</v>
      </c>
      <c r="H7" s="208" t="s">
        <v>259</v>
      </c>
      <c r="I7" s="211" t="s">
        <v>260</v>
      </c>
      <c r="J7" s="212">
        <v>1</v>
      </c>
      <c r="AJ7" s="210" t="s">
        <v>260</v>
      </c>
    </row>
    <row r="8" spans="2:36" ht="14.4" customHeight="1" x14ac:dyDescent="0.25">
      <c r="B8" s="11">
        <v>0.2</v>
      </c>
      <c r="C8" s="208">
        <v>0.924641340574339</v>
      </c>
      <c r="D8" s="208">
        <v>0.91200697923576901</v>
      </c>
      <c r="E8" s="208">
        <v>0.89488303957075999</v>
      </c>
      <c r="F8" s="208">
        <v>0.74935929717215</v>
      </c>
      <c r="G8" s="208">
        <v>0.72009032511142801</v>
      </c>
      <c r="H8" s="208">
        <v>0.68229253786461697</v>
      </c>
      <c r="I8" s="213"/>
    </row>
    <row r="9" spans="2:36" ht="14.4" customHeight="1" x14ac:dyDescent="0.25">
      <c r="B9" s="11">
        <v>0.3</v>
      </c>
      <c r="C9" s="208">
        <v>0.94374409678480198</v>
      </c>
      <c r="D9" s="208">
        <v>0.93355775697554</v>
      </c>
      <c r="E9" s="208">
        <v>0.91993946091769596</v>
      </c>
      <c r="F9" s="208">
        <v>0.80132634271117598</v>
      </c>
      <c r="G9" s="208">
        <v>0.77345107462880902</v>
      </c>
      <c r="H9" s="208">
        <v>0.737941200792815</v>
      </c>
      <c r="I9" s="213"/>
    </row>
    <row r="10" spans="2:36" ht="14.4" customHeight="1" x14ac:dyDescent="0.25">
      <c r="B10" s="11">
        <v>0.4</v>
      </c>
      <c r="C10" s="208">
        <v>0.95323248365176205</v>
      </c>
      <c r="D10" s="208">
        <v>0.94442753219647702</v>
      </c>
      <c r="E10" s="208">
        <v>0.93272978609414003</v>
      </c>
      <c r="F10" s="208">
        <v>0.83189323163903395</v>
      </c>
      <c r="G10" s="208">
        <v>0.805902502771767</v>
      </c>
      <c r="H10" s="208">
        <v>0.772842904699648</v>
      </c>
      <c r="I10" s="213"/>
    </row>
    <row r="11" spans="2:36" ht="14.4" customHeight="1" x14ac:dyDescent="0.25">
      <c r="B11" s="11">
        <v>0.5</v>
      </c>
      <c r="C11" s="208">
        <v>0.95864595224239901</v>
      </c>
      <c r="D11" s="208">
        <v>0.95067769043198402</v>
      </c>
      <c r="E11" s="208">
        <v>0.94013119474843698</v>
      </c>
      <c r="F11" s="208">
        <v>0.85184111259531003</v>
      </c>
      <c r="G11" s="208">
        <v>0.827525236169939</v>
      </c>
      <c r="H11" s="208">
        <v>0.79656295494371199</v>
      </c>
      <c r="I11" s="213"/>
    </row>
    <row r="12" spans="2:36" ht="14.4" customHeight="1" x14ac:dyDescent="0.25">
      <c r="B12" s="11">
        <v>1</v>
      </c>
      <c r="C12" s="208">
        <v>0.96652923507184796</v>
      </c>
      <c r="D12" s="208">
        <v>0.95981805572132795</v>
      </c>
      <c r="E12" s="208">
        <v>0.95101202794556605</v>
      </c>
      <c r="F12" s="208">
        <v>0.89409204070413095</v>
      </c>
      <c r="G12" s="208">
        <v>0.87454409614305295</v>
      </c>
      <c r="H12" s="208">
        <v>0.84949924958551803</v>
      </c>
      <c r="I12" s="213"/>
    </row>
    <row r="13" spans="2:36" ht="14.4" customHeight="1" x14ac:dyDescent="0.25">
      <c r="B13" s="11">
        <v>1.5</v>
      </c>
      <c r="C13" s="208">
        <v>0.96561003599466999</v>
      </c>
      <c r="D13" s="208">
        <v>0.95868577125342502</v>
      </c>
      <c r="E13" s="208">
        <v>0.94964011809607396</v>
      </c>
      <c r="F13" s="208">
        <v>0.90662350097746303</v>
      </c>
      <c r="G13" s="208">
        <v>0.88883142345802502</v>
      </c>
      <c r="H13" s="208">
        <v>0.86599377921384402</v>
      </c>
      <c r="I13" s="213"/>
    </row>
    <row r="14" spans="2:36" ht="14.4" customHeight="1" x14ac:dyDescent="0.25">
      <c r="B14" s="11">
        <v>2</v>
      </c>
      <c r="C14" s="208">
        <v>0.96246735515647996</v>
      </c>
      <c r="D14" s="208">
        <v>0.95493991808915801</v>
      </c>
      <c r="E14" s="208">
        <v>0.945139165326774</v>
      </c>
      <c r="F14" s="208">
        <v>0.91074836328896203</v>
      </c>
      <c r="G14" s="208">
        <v>0.89357518020266302</v>
      </c>
      <c r="H14" s="208">
        <v>0.87153804494159803</v>
      </c>
      <c r="I14" s="213"/>
    </row>
    <row r="15" spans="2:36" ht="14.4" customHeight="1" x14ac:dyDescent="0.25">
      <c r="B15" s="11">
        <v>2.5</v>
      </c>
      <c r="C15" s="208">
        <v>0.95845967662596498</v>
      </c>
      <c r="D15" s="208">
        <v>0.95018080552802497</v>
      </c>
      <c r="E15" s="208">
        <v>0.939433194722468</v>
      </c>
      <c r="F15" s="208">
        <v>0.91135621160805802</v>
      </c>
      <c r="G15" s="208">
        <v>0.89427740659930399</v>
      </c>
      <c r="H15" s="208">
        <v>0.87238889289880905</v>
      </c>
      <c r="I15" s="213"/>
    </row>
    <row r="16" spans="2:36" ht="14.4" customHeight="1" x14ac:dyDescent="0.25">
      <c r="B16" s="11">
        <v>3</v>
      </c>
      <c r="C16" s="208">
        <v>0.95404542891419497</v>
      </c>
      <c r="D16" s="208">
        <v>0.94495093898504201</v>
      </c>
      <c r="E16" s="208">
        <v>0.93317656216335698</v>
      </c>
      <c r="F16" s="208">
        <v>0.91017697436839395</v>
      </c>
      <c r="G16" s="208">
        <v>0.89291495574902102</v>
      </c>
      <c r="H16" s="208">
        <v>0.87083010100931901</v>
      </c>
      <c r="I16" s="213"/>
    </row>
    <row r="17" spans="2:11" ht="14.4" customHeight="1" x14ac:dyDescent="0.25">
      <c r="B17" s="11">
        <v>3.5</v>
      </c>
      <c r="C17" s="208">
        <v>0.94942209452664605</v>
      </c>
      <c r="D17" s="208">
        <v>0.93948445299026195</v>
      </c>
      <c r="E17" s="208">
        <v>0.92665186593623305</v>
      </c>
      <c r="F17" s="208">
        <v>0.90797785640960404</v>
      </c>
      <c r="G17" s="208">
        <v>0.89037245390124697</v>
      </c>
      <c r="H17" s="208">
        <v>0.86789308114785901</v>
      </c>
      <c r="I17" s="213"/>
    </row>
    <row r="18" spans="2:11" ht="14.4" customHeight="1" x14ac:dyDescent="0.25">
      <c r="B18" s="11">
        <v>4</v>
      </c>
      <c r="C18" s="208">
        <v>0.94468846923261196</v>
      </c>
      <c r="D18" s="208">
        <v>0.93389848942546605</v>
      </c>
      <c r="E18" s="208">
        <v>0.92000031527257797</v>
      </c>
      <c r="F18" s="208">
        <v>0.90515101365587802</v>
      </c>
      <c r="G18" s="208">
        <v>0.88710470063617197</v>
      </c>
      <c r="H18" s="208">
        <v>0.86411120496425697</v>
      </c>
      <c r="I18" s="213"/>
    </row>
    <row r="19" spans="2:11" ht="14.4" customHeight="1" x14ac:dyDescent="0.25">
      <c r="B19" s="11">
        <v>4.5</v>
      </c>
      <c r="C19" s="208">
        <v>0.93989924636304201</v>
      </c>
      <c r="D19" s="208">
        <v>0.92825780137215697</v>
      </c>
      <c r="E19" s="208">
        <v>0.91329971348241301</v>
      </c>
      <c r="F19" s="208">
        <v>0.90191759046800501</v>
      </c>
      <c r="G19" s="208">
        <v>0.88336915789065096</v>
      </c>
      <c r="H19" s="208">
        <v>0.85978755421174402</v>
      </c>
      <c r="I19" s="213"/>
    </row>
    <row r="20" spans="2:11" ht="14.4" customHeight="1" x14ac:dyDescent="0.25">
      <c r="B20" s="11">
        <v>5</v>
      </c>
      <c r="C20" s="208">
        <v>0.93508698604205498</v>
      </c>
      <c r="D20" s="208">
        <v>0.92260081607202904</v>
      </c>
      <c r="E20" s="208">
        <v>0.90659597748722498</v>
      </c>
      <c r="F20" s="208">
        <v>0.89841163000544499</v>
      </c>
      <c r="G20" s="208">
        <v>0.87932227709912403</v>
      </c>
      <c r="H20" s="208">
        <v>0.85510672407375199</v>
      </c>
      <c r="I20" s="213"/>
    </row>
    <row r="21" spans="2:11" ht="14.4" customHeight="1" x14ac:dyDescent="0.25">
      <c r="B21" s="11">
        <v>5.5</v>
      </c>
      <c r="C21" s="208">
        <v>0.93027214612448195</v>
      </c>
      <c r="D21" s="208">
        <v>0.91695155519541804</v>
      </c>
      <c r="E21" s="208">
        <v>0.89991757295719499</v>
      </c>
      <c r="F21" s="208">
        <v>0.894718996653868</v>
      </c>
      <c r="G21" s="208">
        <v>0.87506442722187305</v>
      </c>
      <c r="H21" s="208">
        <v>0.850187269522513</v>
      </c>
      <c r="I21" s="213"/>
    </row>
    <row r="22" spans="2:11" ht="14.4" customHeight="1" x14ac:dyDescent="0.25">
      <c r="B22" s="11">
        <v>6</v>
      </c>
      <c r="C22" s="208">
        <v>0.92546811476906099</v>
      </c>
      <c r="D22" s="208">
        <v>0.91132562290732</v>
      </c>
      <c r="E22" s="208">
        <v>0.89328277271617695</v>
      </c>
      <c r="F22" s="208">
        <v>0.89089714210958704</v>
      </c>
      <c r="G22" s="208">
        <v>0.87066280727206102</v>
      </c>
      <c r="H22" s="214">
        <v>0.845108570537487</v>
      </c>
      <c r="I22" s="213"/>
    </row>
    <row r="23" spans="2:11" ht="14.4" customHeight="1" x14ac:dyDescent="0.25">
      <c r="B23" s="11">
        <v>6.5</v>
      </c>
      <c r="C23" s="208">
        <v>0.92068392748804595</v>
      </c>
      <c r="D23" s="208">
        <v>0.90573344191523197</v>
      </c>
      <c r="E23" s="208">
        <v>0.886703581994843</v>
      </c>
      <c r="F23" s="208">
        <v>0.88698588064472705</v>
      </c>
      <c r="G23" s="208">
        <v>0.86616397882819995</v>
      </c>
      <c r="H23" s="208">
        <v>0.83992557828846603</v>
      </c>
      <c r="I23" s="213"/>
    </row>
    <row r="24" spans="2:11" ht="14.4" customHeight="1" x14ac:dyDescent="0.25">
      <c r="B24" s="11">
        <v>7</v>
      </c>
      <c r="C24" s="208">
        <v>0.91592582300856096</v>
      </c>
      <c r="D24" s="208">
        <v>0.90018210788545405</v>
      </c>
      <c r="E24" s="208">
        <v>0.88018798880129401</v>
      </c>
      <c r="F24" s="208">
        <v>0.88301360843113397</v>
      </c>
      <c r="G24" s="208">
        <v>0.86160111939255102</v>
      </c>
      <c r="H24" s="208">
        <v>0.83467737402335895</v>
      </c>
      <c r="I24" s="213"/>
    </row>
    <row r="25" spans="2:11" ht="14.4" customHeight="1" x14ac:dyDescent="0.25">
      <c r="B25" s="11">
        <v>7.5</v>
      </c>
      <c r="C25" s="208">
        <v>0.91119817833976202</v>
      </c>
      <c r="D25" s="208">
        <v>0.89467650453862402</v>
      </c>
      <c r="E25" s="208">
        <v>0.87374131740962202</v>
      </c>
      <c r="F25" s="208">
        <v>0.87900106628766606</v>
      </c>
      <c r="G25" s="208">
        <v>0.85699842066690501</v>
      </c>
      <c r="H25" s="208">
        <v>0.82939237117573095</v>
      </c>
      <c r="I25" s="213"/>
    </row>
    <row r="26" spans="2:11" ht="14.4" customHeight="1" x14ac:dyDescent="0.25">
      <c r="B26" s="11">
        <v>8</v>
      </c>
      <c r="C26" s="208">
        <v>0.90650409394401199</v>
      </c>
      <c r="D26" s="208">
        <v>0.88922000173194005</v>
      </c>
      <c r="E26" s="208">
        <v>0.867367075673381</v>
      </c>
      <c r="F26" s="208">
        <v>0.87496370792246603</v>
      </c>
      <c r="G26" s="208">
        <v>0.85237386203947896</v>
      </c>
      <c r="H26" s="208">
        <v>0.82409160213861898</v>
      </c>
      <c r="I26" s="213"/>
    </row>
    <row r="27" spans="2:11" ht="14.4" customHeight="1" x14ac:dyDescent="0.25">
      <c r="B27" s="11">
        <v>8.5</v>
      </c>
      <c r="C27" s="208">
        <v>0.90184577274008604</v>
      </c>
      <c r="D27" s="208">
        <v>0.88381490767325899</v>
      </c>
      <c r="E27" s="208">
        <v>0.86106750376705199</v>
      </c>
      <c r="F27" s="208">
        <v>0.87091324149923</v>
      </c>
      <c r="G27" s="208">
        <v>0.84774101883036901</v>
      </c>
      <c r="H27" s="208">
        <v>0.81879086464928996</v>
      </c>
      <c r="I27" s="213"/>
    </row>
    <row r="28" spans="2:11" ht="14.4" customHeight="1" x14ac:dyDescent="0.25">
      <c r="B28" s="11">
        <v>9</v>
      </c>
      <c r="C28" s="208">
        <v>0.89722477293454495</v>
      </c>
      <c r="D28" s="208">
        <v>0.87846277058990097</v>
      </c>
      <c r="E28" s="208">
        <v>0.85484394004898401</v>
      </c>
      <c r="F28" s="208">
        <v>0.86685866263911504</v>
      </c>
      <c r="G28" s="208">
        <v>0.84311027564213703</v>
      </c>
      <c r="H28" s="208">
        <v>0.81350216398559305</v>
      </c>
      <c r="I28" s="213"/>
    </row>
    <row r="29" spans="2:11" ht="14.4" customHeight="1" x14ac:dyDescent="0.25">
      <c r="B29" s="11">
        <v>9.5</v>
      </c>
      <c r="C29" s="208">
        <v>0.89264218106831705</v>
      </c>
      <c r="D29" s="208">
        <v>0.87316458515989204</v>
      </c>
      <c r="E29" s="208">
        <v>0.84869707120468296</v>
      </c>
      <c r="F29" s="208">
        <v>0.86280696436180804</v>
      </c>
      <c r="G29" s="208">
        <v>0.83848966120915003</v>
      </c>
      <c r="H29" s="208">
        <v>0.80823470638035999</v>
      </c>
      <c r="I29" s="213"/>
    </row>
    <row r="30" spans="2:11" ht="14.4" customHeight="1" x14ac:dyDescent="0.25">
      <c r="B30" s="11">
        <v>10</v>
      </c>
      <c r="C30" s="208">
        <v>0.88809873314909005</v>
      </c>
      <c r="D30" s="208">
        <v>0.86792093695334105</v>
      </c>
      <c r="E30" s="208">
        <v>0.84262710705860899</v>
      </c>
      <c r="F30" s="208">
        <v>0.858763635970062</v>
      </c>
      <c r="G30" s="208">
        <v>0.83388543562777695</v>
      </c>
      <c r="H30" s="208">
        <v>0.80299559841464996</v>
      </c>
      <c r="I30" s="213"/>
    </row>
    <row r="32" spans="2:11" x14ac:dyDescent="0.25">
      <c r="C32" s="256" t="s">
        <v>261</v>
      </c>
      <c r="D32" s="256"/>
      <c r="E32" s="256"/>
      <c r="F32" s="256" t="s">
        <v>262</v>
      </c>
      <c r="G32" s="256"/>
      <c r="H32" s="256"/>
      <c r="I32" s="256" t="s">
        <v>263</v>
      </c>
      <c r="J32" s="256"/>
      <c r="K32" s="256"/>
    </row>
    <row r="33" spans="2:11" x14ac:dyDescent="0.25">
      <c r="B33" s="11" t="s">
        <v>215</v>
      </c>
      <c r="C33" s="208" t="s">
        <v>264</v>
      </c>
      <c r="D33" s="208" t="s">
        <v>265</v>
      </c>
      <c r="E33" s="208" t="s">
        <v>266</v>
      </c>
      <c r="F33" s="208" t="s">
        <v>264</v>
      </c>
      <c r="G33" s="208" t="s">
        <v>265</v>
      </c>
      <c r="H33" s="208" t="s">
        <v>266</v>
      </c>
      <c r="I33" s="208" t="s">
        <v>264</v>
      </c>
      <c r="J33" s="208" t="s">
        <v>265</v>
      </c>
      <c r="K33" s="208" t="s">
        <v>266</v>
      </c>
    </row>
    <row r="34" spans="2:11" x14ac:dyDescent="0.25">
      <c r="B34" s="11">
        <v>0.05</v>
      </c>
      <c r="C34" s="208">
        <v>0.72962058368043403</v>
      </c>
      <c r="D34" s="208">
        <v>0.80331878466941498</v>
      </c>
      <c r="E34" s="208">
        <v>0.85026422441474303</v>
      </c>
      <c r="F34" s="208">
        <v>0.73651930881781602</v>
      </c>
      <c r="G34" s="208">
        <v>0.80909234443772504</v>
      </c>
      <c r="H34" s="208">
        <v>0.85548035934432698</v>
      </c>
      <c r="I34" s="208">
        <v>0.74283305918326104</v>
      </c>
      <c r="J34" s="208">
        <v>0.81448476935024305</v>
      </c>
      <c r="K34" s="208">
        <v>0.86045211067796501</v>
      </c>
    </row>
    <row r="35" spans="2:11" x14ac:dyDescent="0.25">
      <c r="B35" s="11">
        <v>0.1</v>
      </c>
      <c r="C35" s="208">
        <v>0.80919459484030698</v>
      </c>
      <c r="D35" s="208">
        <v>0.86426842827953898</v>
      </c>
      <c r="E35" s="208">
        <v>0.89762584468100104</v>
      </c>
      <c r="F35" s="208">
        <v>0.81744716068197298</v>
      </c>
      <c r="G35" s="208">
        <v>0.87047878593760497</v>
      </c>
      <c r="H35" s="208">
        <v>0.90263407033127796</v>
      </c>
      <c r="I35" s="208">
        <v>0.82491155089990398</v>
      </c>
      <c r="J35" s="208">
        <v>0.876121042317618</v>
      </c>
      <c r="K35" s="208">
        <v>0.90722216374100995</v>
      </c>
    </row>
    <row r="36" spans="2:11" x14ac:dyDescent="0.25">
      <c r="B36" s="11">
        <v>0.2</v>
      </c>
      <c r="C36" s="208">
        <v>0.84840777121273003</v>
      </c>
      <c r="D36" s="208">
        <v>0.89282925617674802</v>
      </c>
      <c r="E36" s="208">
        <v>0.91906776494589904</v>
      </c>
      <c r="F36" s="208">
        <v>0.85720741815843704</v>
      </c>
      <c r="G36" s="208">
        <v>0.89904995415131395</v>
      </c>
      <c r="H36" s="208">
        <v>0.92373628873821101</v>
      </c>
      <c r="I36" s="208">
        <v>0.86504646761097204</v>
      </c>
      <c r="J36" s="208">
        <v>0.90453920145598399</v>
      </c>
      <c r="K36" s="208">
        <v>0.92783043375820895</v>
      </c>
    </row>
    <row r="37" spans="2:11" x14ac:dyDescent="0.25">
      <c r="B37" s="11">
        <v>0.3</v>
      </c>
      <c r="C37" s="208">
        <v>0.85558550005810996</v>
      </c>
      <c r="D37" s="208">
        <v>0.89780470079553598</v>
      </c>
      <c r="E37" s="208">
        <v>0.92260893078630002</v>
      </c>
      <c r="F37" s="208">
        <v>0.86430802281100805</v>
      </c>
      <c r="G37" s="208">
        <v>0.90381585401151499</v>
      </c>
      <c r="H37" s="208">
        <v>0.92697260828746397</v>
      </c>
      <c r="I37" s="208">
        <v>0.871968787406734</v>
      </c>
      <c r="J37" s="208">
        <v>0.908992650706549</v>
      </c>
      <c r="K37" s="208">
        <v>0.93066083960185098</v>
      </c>
    </row>
    <row r="38" spans="2:11" x14ac:dyDescent="0.25">
      <c r="B38" s="11">
        <v>0.4</v>
      </c>
      <c r="C38" s="208">
        <v>0.85416886602767605</v>
      </c>
      <c r="D38" s="208">
        <v>0.89659135443165205</v>
      </c>
      <c r="E38" s="208">
        <v>0.92151485362635199</v>
      </c>
      <c r="F38" s="208">
        <v>0.86264572753674995</v>
      </c>
      <c r="G38" s="208">
        <v>0.90233841741932796</v>
      </c>
      <c r="H38" s="208">
        <v>0.92558727623974102</v>
      </c>
      <c r="I38" s="208">
        <v>0.86998134540156302</v>
      </c>
      <c r="J38" s="208">
        <v>0.90716601978065003</v>
      </c>
      <c r="K38" s="208">
        <v>0.92889832228152502</v>
      </c>
    </row>
    <row r="39" spans="2:11" x14ac:dyDescent="0.25">
      <c r="B39" s="11">
        <v>0.5</v>
      </c>
      <c r="C39" s="208">
        <v>0.84931950580948101</v>
      </c>
      <c r="D39" s="208">
        <v>0.89290602270887598</v>
      </c>
      <c r="E39" s="208">
        <v>0.91856945480601204</v>
      </c>
      <c r="F39" s="208">
        <v>0.85748698186931804</v>
      </c>
      <c r="G39" s="208">
        <v>0.89837017036174704</v>
      </c>
      <c r="H39" s="208">
        <v>0.92235865891913105</v>
      </c>
      <c r="I39" s="208">
        <v>0.86444381855562202</v>
      </c>
      <c r="J39" s="208">
        <v>0.90283792232627502</v>
      </c>
      <c r="K39" s="208">
        <v>0.92530737329122204</v>
      </c>
    </row>
    <row r="40" spans="2:11" x14ac:dyDescent="0.25">
      <c r="B40" s="11">
        <v>0.6</v>
      </c>
      <c r="C40" s="208">
        <v>0.84282661844505202</v>
      </c>
      <c r="D40" s="208">
        <v>0.88802161656467404</v>
      </c>
      <c r="E40" s="208">
        <v>0.91471926778858603</v>
      </c>
      <c r="F40" s="208">
        <v>0.85065780485317199</v>
      </c>
      <c r="G40" s="208">
        <v>0.89319623650469704</v>
      </c>
      <c r="H40" s="208">
        <v>0.91823120019333704</v>
      </c>
      <c r="I40" s="208">
        <v>0.85721488337495499</v>
      </c>
      <c r="J40" s="208">
        <v>0.89730229547183904</v>
      </c>
      <c r="K40" s="208">
        <v>0.92082745696227397</v>
      </c>
    </row>
    <row r="41" spans="2:11" x14ac:dyDescent="0.25">
      <c r="B41" s="11">
        <v>0.7</v>
      </c>
      <c r="C41" s="208">
        <v>0.83547173891895299</v>
      </c>
      <c r="D41" s="208">
        <v>0.88249127494107604</v>
      </c>
      <c r="E41" s="208">
        <v>0.91037420379818002</v>
      </c>
      <c r="F41" s="208">
        <v>0.84295580303888396</v>
      </c>
      <c r="G41" s="208">
        <v>0.88737500099027999</v>
      </c>
      <c r="H41" s="208">
        <v>0.91361382681925896</v>
      </c>
      <c r="I41" s="208">
        <v>0.84910633153797799</v>
      </c>
      <c r="J41" s="208">
        <v>0.89112125236902295</v>
      </c>
      <c r="K41" s="208">
        <v>0.91586524007457004</v>
      </c>
    </row>
    <row r="42" spans="2:11" x14ac:dyDescent="0.25">
      <c r="B42" s="11">
        <v>0.8</v>
      </c>
      <c r="C42" s="208">
        <v>0.82764855249096803</v>
      </c>
      <c r="D42" s="208">
        <v>0.87659339532013003</v>
      </c>
      <c r="E42" s="208">
        <v>0.90574034130240999</v>
      </c>
      <c r="F42" s="208">
        <v>0.83478265657941797</v>
      </c>
      <c r="G42" s="208">
        <v>0.88118744088361101</v>
      </c>
      <c r="H42" s="208">
        <v>0.90871207425551404</v>
      </c>
      <c r="I42" s="208">
        <v>0.84052684288413204</v>
      </c>
      <c r="J42" s="208">
        <v>0.88457756035564095</v>
      </c>
      <c r="K42" s="208">
        <v>0.910625059451178</v>
      </c>
    </row>
    <row r="43" spans="2:11" x14ac:dyDescent="0.25">
      <c r="B43" s="11">
        <v>0.9</v>
      </c>
      <c r="C43" s="208">
        <v>0.81957542919008597</v>
      </c>
      <c r="D43" s="208">
        <v>0.87048283460358999</v>
      </c>
      <c r="E43" s="208">
        <v>0.90093239281666104</v>
      </c>
      <c r="F43" s="208">
        <v>0.82636105829340001</v>
      </c>
      <c r="G43" s="208">
        <v>0.87478979305369198</v>
      </c>
      <c r="H43" s="208">
        <v>0.90364031704093195</v>
      </c>
      <c r="I43" s="208">
        <v>0.83170284662372296</v>
      </c>
      <c r="J43" s="208">
        <v>0.87782837846359696</v>
      </c>
      <c r="K43" s="208">
        <v>0.90522057607464301</v>
      </c>
    </row>
    <row r="44" spans="2:11" x14ac:dyDescent="0.25">
      <c r="B44" s="11">
        <v>1</v>
      </c>
      <c r="C44" s="208">
        <v>0.81138208089067099</v>
      </c>
      <c r="D44" s="208">
        <v>0.86425217558101797</v>
      </c>
      <c r="E44" s="208">
        <v>0.89601911243725096</v>
      </c>
      <c r="F44" s="208">
        <v>0.817823182708449</v>
      </c>
      <c r="G44" s="208">
        <v>0.86827541666506602</v>
      </c>
      <c r="H44" s="208">
        <v>0.89846707752432597</v>
      </c>
      <c r="I44" s="208">
        <v>0.82276860345605596</v>
      </c>
      <c r="J44" s="208">
        <v>0.87096755326544395</v>
      </c>
      <c r="K44" s="208">
        <v>0.89971984677999095</v>
      </c>
    </row>
    <row r="45" spans="2:11" x14ac:dyDescent="0.25">
      <c r="B45" s="11">
        <v>1.1000000000000001</v>
      </c>
      <c r="C45" s="208">
        <v>0.80314950067019997</v>
      </c>
      <c r="D45" s="208">
        <v>0.85795983800906805</v>
      </c>
      <c r="E45" s="208">
        <v>0.89104407595192103</v>
      </c>
      <c r="F45" s="208">
        <v>0.80925146561850003</v>
      </c>
      <c r="G45" s="208">
        <v>0.86170317820338505</v>
      </c>
      <c r="H45" s="208">
        <v>0.89323575962340596</v>
      </c>
      <c r="I45" s="208">
        <v>0.81380773284707897</v>
      </c>
      <c r="J45" s="208">
        <v>0.86405420263632204</v>
      </c>
      <c r="K45" s="208">
        <v>0.894165948053254</v>
      </c>
    </row>
    <row r="46" spans="2:11" x14ac:dyDescent="0.25">
      <c r="B46" s="11">
        <v>1.2</v>
      </c>
      <c r="C46" s="208">
        <v>0.79493014205172896</v>
      </c>
      <c r="D46" s="208">
        <v>0.85164423488072905</v>
      </c>
      <c r="E46" s="208">
        <v>0.8860361247438</v>
      </c>
      <c r="F46" s="208">
        <v>0.80069920954084495</v>
      </c>
      <c r="G46" s="208">
        <v>0.855111745830757</v>
      </c>
      <c r="H46" s="208">
        <v>0.88797506898196699</v>
      </c>
      <c r="I46" s="208">
        <v>0.80487419760638201</v>
      </c>
      <c r="J46" s="208">
        <v>0.85712711008605402</v>
      </c>
      <c r="K46" s="208">
        <v>0.88858734033443598</v>
      </c>
    </row>
    <row r="47" spans="2:11" x14ac:dyDescent="0.25">
      <c r="B47" s="11">
        <v>1.3</v>
      </c>
      <c r="C47" s="208">
        <v>0.78675887225098295</v>
      </c>
      <c r="D47" s="208">
        <v>0.84533143778324804</v>
      </c>
      <c r="E47" s="208">
        <v>0.88101501238984103</v>
      </c>
      <c r="F47" s="208">
        <v>0.79220176884236704</v>
      </c>
      <c r="G47" s="208">
        <v>0.84852732953086496</v>
      </c>
      <c r="H47" s="208">
        <v>0.88270464652500802</v>
      </c>
      <c r="I47" s="208">
        <v>0.79600369512788505</v>
      </c>
      <c r="J47" s="208">
        <v>0.85021251894395</v>
      </c>
      <c r="K47" s="208">
        <v>0.88300347110734001</v>
      </c>
    </row>
    <row r="48" spans="2:11" x14ac:dyDescent="0.25">
      <c r="B48" s="11">
        <v>1.4</v>
      </c>
      <c r="C48" s="208">
        <v>0.77865926993912804</v>
      </c>
      <c r="D48" s="208">
        <v>0.83903957666934503</v>
      </c>
      <c r="E48" s="208">
        <v>0.87599464190222198</v>
      </c>
      <c r="F48" s="208">
        <v>0.78378298091421805</v>
      </c>
      <c r="G48" s="208">
        <v>0.84196812378167096</v>
      </c>
      <c r="H48" s="208">
        <v>0.87743829811769902</v>
      </c>
      <c r="I48" s="208">
        <v>0.78722020703478701</v>
      </c>
      <c r="J48" s="208">
        <v>0.84332860596297998</v>
      </c>
      <c r="K48" s="208">
        <v>0.87742798695587398</v>
      </c>
    </row>
    <row r="49" spans="2:11" x14ac:dyDescent="0.25">
      <c r="B49" s="11">
        <v>1.5</v>
      </c>
      <c r="C49" s="208">
        <v>0.77064742154753596</v>
      </c>
      <c r="D49" s="208">
        <v>0.83278148917546202</v>
      </c>
      <c r="E49" s="208">
        <v>0.87098501329807998</v>
      </c>
      <c r="F49" s="208">
        <v>0.77545904281588396</v>
      </c>
      <c r="G49" s="208">
        <v>0.83544698266774597</v>
      </c>
      <c r="H49" s="208">
        <v>0.87218593751351203</v>
      </c>
      <c r="I49" s="208">
        <v>0.77853994706579799</v>
      </c>
      <c r="J49" s="208">
        <v>0.83648817498043004</v>
      </c>
      <c r="K49" s="208">
        <v>0.871870665843822</v>
      </c>
    </row>
    <row r="50" spans="2:11" x14ac:dyDescent="0.25">
      <c r="B50" s="11">
        <v>1.6</v>
      </c>
      <c r="C50" s="208">
        <v>0.76273430186910596</v>
      </c>
      <c r="D50" s="208">
        <v>0.82656638117579895</v>
      </c>
      <c r="E50" s="208">
        <v>0.86599344352880203</v>
      </c>
      <c r="F50" s="208">
        <v>0.76724094211195104</v>
      </c>
      <c r="G50" s="208">
        <v>0.82897309655915397</v>
      </c>
      <c r="H50" s="208">
        <v>0.86695480335048103</v>
      </c>
      <c r="I50" s="208">
        <v>0.76997383637379202</v>
      </c>
      <c r="J50" s="208">
        <v>0.82970034515394897</v>
      </c>
      <c r="K50" s="208">
        <v>0.86633862737873601</v>
      </c>
    </row>
    <row r="51" spans="2:11" x14ac:dyDescent="0.25">
      <c r="B51" s="11">
        <v>1.7</v>
      </c>
      <c r="C51" s="208">
        <v>0.75492731766268595</v>
      </c>
      <c r="D51" s="208">
        <v>0.82040090365434903</v>
      </c>
      <c r="E51" s="208">
        <v>0.86102535728801899</v>
      </c>
      <c r="F51" s="208">
        <v>0.75913603288840503</v>
      </c>
      <c r="G51" s="208">
        <v>0.82255307939873201</v>
      </c>
      <c r="H51" s="208">
        <v>0.86175024803127298</v>
      </c>
      <c r="I51" s="208">
        <v>0.76152910815517805</v>
      </c>
      <c r="J51" s="208">
        <v>0.82297164568237502</v>
      </c>
      <c r="K51" s="208">
        <v>0.86083711729300605</v>
      </c>
    </row>
    <row r="52" spans="2:11" x14ac:dyDescent="0.25">
      <c r="B52" s="11">
        <v>1.8</v>
      </c>
      <c r="C52" s="208">
        <v>0.74723133760912097</v>
      </c>
      <c r="D52" s="208">
        <v>0.81428987181072798</v>
      </c>
      <c r="E52" s="208">
        <v>0.85608481500333899</v>
      </c>
      <c r="F52" s="208">
        <v>0.75114908717587903</v>
      </c>
      <c r="G52" s="208">
        <v>0.816191694723577</v>
      </c>
      <c r="H52" s="208">
        <v>0.85657626440770096</v>
      </c>
      <c r="I52" s="208">
        <v>0.75321037795990498</v>
      </c>
      <c r="J52" s="208">
        <v>0.816306746736288</v>
      </c>
      <c r="K52" s="208">
        <v>0.85537003116513399</v>
      </c>
    </row>
    <row r="53" spans="2:11" x14ac:dyDescent="0.25">
      <c r="B53" s="11">
        <v>1.9</v>
      </c>
      <c r="C53" s="208">
        <v>0.73964939673994101</v>
      </c>
      <c r="D53" s="208">
        <v>0.80823675762816605</v>
      </c>
      <c r="E53" s="208">
        <v>0.85117487452419305</v>
      </c>
      <c r="F53" s="208">
        <v>0.74328301391101603</v>
      </c>
      <c r="G53" s="208">
        <v>0.809892352933685</v>
      </c>
      <c r="H53" s="208">
        <v>0.85143584655710902</v>
      </c>
      <c r="I53" s="208">
        <v>0.74502037538189103</v>
      </c>
      <c r="J53" s="208">
        <v>0.80970896004000303</v>
      </c>
      <c r="K53" s="208">
        <v>0.84994027314531595</v>
      </c>
    </row>
    <row r="54" spans="2:11" x14ac:dyDescent="0.25">
      <c r="B54" s="11">
        <v>2</v>
      </c>
      <c r="C54" s="208">
        <v>0.73218318868892895</v>
      </c>
      <c r="D54" s="208">
        <v>0.802244034868277</v>
      </c>
      <c r="E54" s="208">
        <v>0.84629784453388202</v>
      </c>
      <c r="F54" s="208">
        <v>0.73553936120619701</v>
      </c>
      <c r="G54" s="208">
        <v>0.80365745954567003</v>
      </c>
      <c r="H54" s="208">
        <v>0.84633124254250502</v>
      </c>
      <c r="I54" s="208">
        <v>0.73696045505329899</v>
      </c>
      <c r="J54" s="208">
        <v>0.80318058940168102</v>
      </c>
      <c r="K54" s="208">
        <v>0.84455000726128804</v>
      </c>
    </row>
    <row r="55" spans="2:11" x14ac:dyDescent="0.25">
      <c r="B55" s="11">
        <v>2.1</v>
      </c>
      <c r="C55" s="208">
        <v>0.72483341619266795</v>
      </c>
      <c r="D55" s="208">
        <v>0.79631342549926498</v>
      </c>
      <c r="E55" s="208">
        <v>0.84145546567375595</v>
      </c>
      <c r="F55" s="208">
        <v>0.72791867385900599</v>
      </c>
      <c r="G55" s="208">
        <v>0.79748866391835904</v>
      </c>
      <c r="H55" s="208">
        <v>0.84126413505934505</v>
      </c>
      <c r="I55" s="208">
        <v>0.72903096021285196</v>
      </c>
      <c r="J55" s="208">
        <v>0.796723181024939</v>
      </c>
      <c r="K55" s="208">
        <v>0.83920083701070303</v>
      </c>
    </row>
    <row r="56" spans="2:11" x14ac:dyDescent="0.25">
      <c r="B56" s="11">
        <v>2.2000000000000002</v>
      </c>
      <c r="C56" s="208">
        <v>0.71760004479860295</v>
      </c>
      <c r="D56" s="208">
        <v>0.79044607881328399</v>
      </c>
      <c r="E56" s="208">
        <v>0.83664904231802195</v>
      </c>
      <c r="F56" s="208">
        <v>0.72042075202150302</v>
      </c>
      <c r="G56" s="208">
        <v>0.79138704001218596</v>
      </c>
      <c r="H56" s="208">
        <v>0.83623577285297401</v>
      </c>
      <c r="I56" s="208">
        <v>0.72123148562324402</v>
      </c>
      <c r="J56" s="208">
        <v>0.79033770538487702</v>
      </c>
      <c r="K56" s="208">
        <v>0.83389393599831496</v>
      </c>
    </row>
    <row r="57" spans="2:11" x14ac:dyDescent="0.25">
      <c r="B57" s="11">
        <v>2.2999999999999998</v>
      </c>
      <c r="C57" s="208">
        <v>0.71048248918144297</v>
      </c>
      <c r="D57" s="208">
        <v>0.78464270365743405</v>
      </c>
      <c r="E57" s="208">
        <v>0.83187953998070097</v>
      </c>
      <c r="F57" s="208">
        <v>0.71304484105904198</v>
      </c>
      <c r="G57" s="208">
        <v>0.78535321980704398</v>
      </c>
      <c r="H57" s="208">
        <v>0.83124706785245694</v>
      </c>
      <c r="I57" s="208">
        <v>0.71356107042625905</v>
      </c>
      <c r="J57" s="208">
        <v>0.78402469143740505</v>
      </c>
      <c r="K57" s="208">
        <v>0.82863014448133199</v>
      </c>
    </row>
    <row r="58" spans="2:11" x14ac:dyDescent="0.25">
      <c r="B58" s="11">
        <v>2.4</v>
      </c>
      <c r="C58" s="208">
        <v>0.70347975171408395</v>
      </c>
      <c r="D58" s="208">
        <v>0.77890366741865902</v>
      </c>
      <c r="E58" s="208">
        <v>0.82714765835530701</v>
      </c>
      <c r="F58" s="208">
        <v>0.70578977266488496</v>
      </c>
      <c r="G58" s="208">
        <v>0.77938749315243305</v>
      </c>
      <c r="H58" s="208">
        <v>0.82629866799736995</v>
      </c>
      <c r="I58" s="208">
        <v>0.706018341374967</v>
      </c>
      <c r="J58" s="208">
        <v>0.77778432703200395</v>
      </c>
      <c r="K58" s="208">
        <v>0.82341004174436905</v>
      </c>
    </row>
    <row r="59" spans="2:11" x14ac:dyDescent="0.25">
      <c r="B59" s="11">
        <v>2.5</v>
      </c>
      <c r="C59" s="208">
        <v>0.69659052667849997</v>
      </c>
      <c r="D59" s="208">
        <v>0.77322907105243099</v>
      </c>
      <c r="E59" s="208">
        <v>0.82245388679558395</v>
      </c>
      <c r="F59" s="208">
        <v>0.69865407090200504</v>
      </c>
      <c r="G59" s="208">
        <v>0.77348988343079395</v>
      </c>
      <c r="H59" s="208">
        <v>0.821391012549469</v>
      </c>
      <c r="I59" s="208">
        <v>0.69860162036815499</v>
      </c>
      <c r="J59" s="208">
        <v>0.77161653497421301</v>
      </c>
      <c r="K59" s="208">
        <v>0.81823400105828703</v>
      </c>
    </row>
    <row r="61" spans="2:11" x14ac:dyDescent="0.25">
      <c r="C61" s="256" t="s">
        <v>261</v>
      </c>
      <c r="D61" s="256"/>
      <c r="E61" s="256"/>
      <c r="F61" s="256" t="s">
        <v>262</v>
      </c>
      <c r="G61" s="256"/>
      <c r="H61" s="256"/>
      <c r="I61" s="256" t="s">
        <v>263</v>
      </c>
      <c r="J61" s="256"/>
      <c r="K61" s="215"/>
    </row>
    <row r="62" spans="2:11" x14ac:dyDescent="0.25">
      <c r="B62" s="11" t="s">
        <v>216</v>
      </c>
      <c r="C62" s="208" t="s">
        <v>267</v>
      </c>
      <c r="D62" s="208" t="s">
        <v>268</v>
      </c>
      <c r="E62" s="208" t="s">
        <v>259</v>
      </c>
      <c r="F62" s="208" t="s">
        <v>264</v>
      </c>
      <c r="G62" s="208" t="s">
        <v>265</v>
      </c>
      <c r="H62" s="208" t="s">
        <v>266</v>
      </c>
      <c r="I62" s="208" t="s">
        <v>267</v>
      </c>
      <c r="J62" s="208" t="s">
        <v>268</v>
      </c>
      <c r="K62" s="216"/>
    </row>
    <row r="63" spans="2:11" x14ac:dyDescent="0.25">
      <c r="B63" s="11">
        <v>0.05</v>
      </c>
      <c r="C63" s="208">
        <v>0.79559325585163798</v>
      </c>
      <c r="D63" s="208">
        <v>0.87429447333799803</v>
      </c>
      <c r="E63" s="208">
        <v>0.90698322388237296</v>
      </c>
      <c r="F63" s="208">
        <v>0.80163153857894498</v>
      </c>
      <c r="G63" s="208">
        <v>0.87991847622894903</v>
      </c>
      <c r="H63" s="208">
        <v>0.91225337475060397</v>
      </c>
      <c r="I63" s="208">
        <v>0.80732403848688605</v>
      </c>
      <c r="J63" s="208">
        <v>0.88525235157481497</v>
      </c>
      <c r="K63" s="216"/>
    </row>
    <row r="64" spans="2:11" x14ac:dyDescent="0.25">
      <c r="B64" s="11">
        <v>0.1</v>
      </c>
      <c r="C64" s="208">
        <v>0.85844395160633202</v>
      </c>
      <c r="D64" s="208">
        <v>0.91412393782985601</v>
      </c>
      <c r="E64" s="208">
        <v>0.93583066371118695</v>
      </c>
      <c r="F64" s="208">
        <v>0.86491462418659104</v>
      </c>
      <c r="G64" s="208">
        <v>0.918870566916278</v>
      </c>
      <c r="H64" s="208">
        <v>0.939806541735003</v>
      </c>
      <c r="I64" s="208">
        <v>0.87083033027807999</v>
      </c>
      <c r="J64" s="208">
        <v>0.92321038434179103</v>
      </c>
      <c r="K64" s="216"/>
    </row>
    <row r="65" spans="2:11" x14ac:dyDescent="0.25">
      <c r="B65" s="11">
        <v>0.2</v>
      </c>
      <c r="C65" s="208">
        <v>0.88759258320526702</v>
      </c>
      <c r="D65" s="208">
        <v>0.93155397942377405</v>
      </c>
      <c r="E65" s="208">
        <v>0.947933574552837</v>
      </c>
      <c r="F65" s="208">
        <v>0.89405775555449496</v>
      </c>
      <c r="G65" s="208">
        <v>0.93559520076713598</v>
      </c>
      <c r="H65" s="208">
        <v>0.95101373626565899</v>
      </c>
      <c r="I65" s="208">
        <v>0.899790904398029</v>
      </c>
      <c r="J65" s="208">
        <v>0.93911346283119701</v>
      </c>
      <c r="K65" s="216"/>
    </row>
    <row r="66" spans="2:11" x14ac:dyDescent="0.25">
      <c r="B66" s="11">
        <v>0.3</v>
      </c>
      <c r="C66" s="208">
        <v>0.89221880390909603</v>
      </c>
      <c r="D66" s="208">
        <v>0.93404186475806406</v>
      </c>
      <c r="E66" s="208">
        <v>0.94934041633441102</v>
      </c>
      <c r="F66" s="208">
        <v>0.89845851514883301</v>
      </c>
      <c r="G66" s="208">
        <v>0.93766108815826699</v>
      </c>
      <c r="H66" s="208">
        <v>0.95194986698999295</v>
      </c>
      <c r="I66" s="208">
        <v>0.903859477729821</v>
      </c>
      <c r="J66" s="208">
        <v>0.94067055105975705</v>
      </c>
      <c r="K66" s="216"/>
    </row>
    <row r="67" spans="2:11" x14ac:dyDescent="0.25">
      <c r="B67" s="11">
        <v>0.4</v>
      </c>
      <c r="C67" s="208">
        <v>0.89041145181254999</v>
      </c>
      <c r="D67" s="208">
        <v>0.932690951090968</v>
      </c>
      <c r="E67" s="208">
        <v>0.94802424278041597</v>
      </c>
      <c r="F67" s="208">
        <v>0.89637233349085199</v>
      </c>
      <c r="G67" s="208">
        <v>0.93596755890803196</v>
      </c>
      <c r="H67" s="208">
        <v>0.95027661580419798</v>
      </c>
      <c r="I67" s="208">
        <v>0.901408590347894</v>
      </c>
      <c r="J67" s="208">
        <v>0.93855592174022595</v>
      </c>
      <c r="K67" s="216"/>
    </row>
    <row r="68" spans="2:11" x14ac:dyDescent="0.25">
      <c r="B68" s="11">
        <v>0.5</v>
      </c>
      <c r="C68" s="208">
        <v>0.88604670485889603</v>
      </c>
      <c r="D68" s="208">
        <v>0.92981104610672305</v>
      </c>
      <c r="E68" s="208">
        <v>0.94562407146738303</v>
      </c>
      <c r="F68" s="208">
        <v>0.89171128793741306</v>
      </c>
      <c r="G68" s="208">
        <v>0.93277973812027404</v>
      </c>
      <c r="H68" s="208">
        <v>0.94756704440434203</v>
      </c>
      <c r="I68" s="208">
        <v>0.89637494830890996</v>
      </c>
      <c r="J68" s="208">
        <v>0.93498560788714602</v>
      </c>
      <c r="K68" s="216"/>
    </row>
    <row r="69" spans="2:11" x14ac:dyDescent="0.25">
      <c r="B69" s="11">
        <v>0.6</v>
      </c>
      <c r="C69" s="208">
        <v>0.88045321644226504</v>
      </c>
      <c r="D69" s="208">
        <v>0.92618459627473604</v>
      </c>
      <c r="E69" s="208">
        <v>0.94269243087004295</v>
      </c>
      <c r="F69" s="208">
        <v>0.88581625195581903</v>
      </c>
      <c r="G69" s="208">
        <v>0.92886457305722103</v>
      </c>
      <c r="H69" s="208">
        <v>0.94435114726180103</v>
      </c>
      <c r="I69" s="208">
        <v>0.89010765000718595</v>
      </c>
      <c r="J69" s="208">
        <v>0.93070954946623197</v>
      </c>
      <c r="K69" s="216"/>
    </row>
    <row r="70" spans="2:11" x14ac:dyDescent="0.25">
      <c r="B70" s="11">
        <v>0.7</v>
      </c>
      <c r="C70" s="208">
        <v>0.87420825922175505</v>
      </c>
      <c r="D70" s="208">
        <v>0.92214977532824505</v>
      </c>
      <c r="E70" s="208">
        <v>0.93946753955371198</v>
      </c>
      <c r="F70" s="208">
        <v>0.87926970600893795</v>
      </c>
      <c r="G70" s="208">
        <v>0.92455342045091804</v>
      </c>
      <c r="H70" s="208">
        <v>0.940857337871849</v>
      </c>
      <c r="I70" s="208">
        <v>0.88319259231487801</v>
      </c>
      <c r="J70" s="208">
        <v>0.92605162379010098</v>
      </c>
      <c r="K70" s="216"/>
    </row>
    <row r="71" spans="2:11" x14ac:dyDescent="0.25">
      <c r="B71" s="11">
        <v>0.8</v>
      </c>
      <c r="C71" s="208">
        <v>0.86760207212895502</v>
      </c>
      <c r="D71" s="208">
        <v>0.91787640339896903</v>
      </c>
      <c r="E71" s="208">
        <v>0.93606889075283095</v>
      </c>
      <c r="F71" s="208">
        <v>0.872364415544158</v>
      </c>
      <c r="G71" s="208">
        <v>0.92001261732487005</v>
      </c>
      <c r="H71" s="208">
        <v>0.937200149928888</v>
      </c>
      <c r="I71" s="208">
        <v>0.87592413181171702</v>
      </c>
      <c r="J71" s="208">
        <v>0.92117434335330695</v>
      </c>
      <c r="K71" s="216"/>
    </row>
    <row r="72" spans="2:11" x14ac:dyDescent="0.25">
      <c r="B72" s="11">
        <v>0.9</v>
      </c>
      <c r="C72" s="208">
        <v>0.86079577175755495</v>
      </c>
      <c r="D72" s="208">
        <v>0.91345895665669397</v>
      </c>
      <c r="E72" s="208">
        <v>0.932562955730183</v>
      </c>
      <c r="F72" s="208">
        <v>0.86526281955019402</v>
      </c>
      <c r="G72" s="208">
        <v>0.91533466244480199</v>
      </c>
      <c r="H72" s="208">
        <v>0.93344327051737597</v>
      </c>
      <c r="I72" s="208">
        <v>0.86846548463590401</v>
      </c>
      <c r="J72" s="208">
        <v>0.916168032056489</v>
      </c>
      <c r="K72" s="216"/>
    </row>
    <row r="73" spans="2:11" x14ac:dyDescent="0.25">
      <c r="B73" s="11">
        <v>1</v>
      </c>
      <c r="C73" s="208">
        <v>0.85388537787074004</v>
      </c>
      <c r="D73" s="208">
        <v>0.90895405423827902</v>
      </c>
      <c r="E73" s="208">
        <v>0.92898960351392301</v>
      </c>
      <c r="F73" s="208">
        <v>0.85806165601953499</v>
      </c>
      <c r="G73" s="208">
        <v>0.91057495947143097</v>
      </c>
      <c r="H73" s="208">
        <v>0.92962488019887701</v>
      </c>
      <c r="I73" s="208">
        <v>0.86091376088601601</v>
      </c>
      <c r="J73" s="208">
        <v>0.91108675318041799</v>
      </c>
      <c r="K73" s="216"/>
    </row>
    <row r="74" spans="2:11" x14ac:dyDescent="0.25">
      <c r="B74" s="11">
        <v>1.1000000000000001</v>
      </c>
      <c r="C74" s="208">
        <v>0.84693120320696702</v>
      </c>
      <c r="D74" s="208">
        <v>0.90439759199755698</v>
      </c>
      <c r="E74" s="208">
        <v>0.92537415585314498</v>
      </c>
      <c r="F74" s="208">
        <v>0.85082162737926503</v>
      </c>
      <c r="G74" s="208">
        <v>0.90576860843551299</v>
      </c>
      <c r="H74" s="208">
        <v>0.92576921335392504</v>
      </c>
      <c r="I74" s="208">
        <v>0.85332981724721002</v>
      </c>
      <c r="J74" s="208">
        <v>0.905964725931941</v>
      </c>
      <c r="K74" s="216"/>
    </row>
    <row r="75" spans="2:11" x14ac:dyDescent="0.25">
      <c r="B75" s="11">
        <v>1.2</v>
      </c>
      <c r="C75" s="208">
        <v>0.83997265815195299</v>
      </c>
      <c r="D75" s="208">
        <v>0.89981334550809899</v>
      </c>
      <c r="E75" s="208">
        <v>0.92173343231362903</v>
      </c>
      <c r="F75" s="208">
        <v>0.843582343998038</v>
      </c>
      <c r="G75" s="208">
        <v>0.90093883597768998</v>
      </c>
      <c r="H75" s="208">
        <v>0.92189235448384599</v>
      </c>
      <c r="I75" s="208">
        <v>0.84575329447338798</v>
      </c>
      <c r="J75" s="208">
        <v>0.90082456651479603</v>
      </c>
      <c r="K75" s="216"/>
    </row>
    <row r="76" spans="2:11" x14ac:dyDescent="0.25">
      <c r="B76" s="11">
        <v>1.3</v>
      </c>
      <c r="C76" s="208">
        <v>0.83303626872967895</v>
      </c>
      <c r="D76" s="208">
        <v>0.89521761784665799</v>
      </c>
      <c r="E76" s="208">
        <v>0.91807901284447502</v>
      </c>
      <c r="F76" s="208">
        <v>0.83637041729063999</v>
      </c>
      <c r="G76" s="208">
        <v>0.89610154940123699</v>
      </c>
      <c r="H76" s="208">
        <v>0.91800536617300199</v>
      </c>
      <c r="I76" s="208">
        <v>0.83821076115411097</v>
      </c>
      <c r="J76" s="208">
        <v>0.89568173958145503</v>
      </c>
      <c r="K76" s="216"/>
    </row>
    <row r="77" spans="2:11" x14ac:dyDescent="0.25">
      <c r="B77" s="11">
        <v>1.4</v>
      </c>
      <c r="C77" s="208">
        <v>0.82614027919170296</v>
      </c>
      <c r="D77" s="208">
        <v>0.89062190259046303</v>
      </c>
      <c r="E77" s="208">
        <v>0.91441910558765405</v>
      </c>
      <c r="F77" s="208">
        <v>0.82920410532929101</v>
      </c>
      <c r="G77" s="208">
        <v>0.89126794577414903</v>
      </c>
      <c r="H77" s="208">
        <v>0.91411607968242403</v>
      </c>
      <c r="I77" s="208">
        <v>0.83072038822287997</v>
      </c>
      <c r="J77" s="208">
        <v>0.89054710835253503</v>
      </c>
      <c r="K77" s="216"/>
    </row>
    <row r="78" spans="2:11" x14ac:dyDescent="0.25">
      <c r="B78" s="11">
        <v>1.5</v>
      </c>
      <c r="C78" s="208">
        <v>0.81929742342319101</v>
      </c>
      <c r="D78" s="208">
        <v>0.88603448512572303</v>
      </c>
      <c r="E78" s="208">
        <v>0.91075966929212904</v>
      </c>
      <c r="F78" s="208">
        <v>0.82209611005902405</v>
      </c>
      <c r="G78" s="208">
        <v>0.88644608072818998</v>
      </c>
      <c r="H78" s="208">
        <v>0.91023017088367597</v>
      </c>
      <c r="I78" s="208">
        <v>0.82329476341871299</v>
      </c>
      <c r="J78" s="208">
        <v>0.88542846784288298</v>
      </c>
      <c r="K78" s="216"/>
    </row>
    <row r="79" spans="2:11" x14ac:dyDescent="0.25">
      <c r="B79" s="11">
        <v>1.6</v>
      </c>
      <c r="C79" s="208">
        <v>0.81251666179853299</v>
      </c>
      <c r="D79" s="208">
        <v>0.88146144528289905</v>
      </c>
      <c r="E79" s="208">
        <v>0.90710511572688002</v>
      </c>
      <c r="F79" s="208">
        <v>0.81505533023815402</v>
      </c>
      <c r="G79" s="208">
        <v>0.88164185068037004</v>
      </c>
      <c r="H79" s="208">
        <v>0.90635183354089799</v>
      </c>
      <c r="I79" s="208">
        <v>0.81594265490343298</v>
      </c>
      <c r="J79" s="208">
        <v>0.88033150474737398</v>
      </c>
      <c r="K79" s="216"/>
    </row>
    <row r="80" spans="2:11" x14ac:dyDescent="0.25">
      <c r="B80" s="11">
        <v>1.7</v>
      </c>
      <c r="C80" s="208">
        <v>0.80580430724707797</v>
      </c>
      <c r="D80" s="208">
        <v>0.87690730707638698</v>
      </c>
      <c r="E80" s="208">
        <v>0.90345876467717801</v>
      </c>
      <c r="F80" s="208">
        <v>0.80808799785010699</v>
      </c>
      <c r="G80" s="208">
        <v>0.87685962930722405</v>
      </c>
      <c r="H80" s="208">
        <v>0.90248421541177504</v>
      </c>
      <c r="I80" s="208">
        <v>0.80867015448146495</v>
      </c>
      <c r="J80" s="208">
        <v>0.87526041940103105</v>
      </c>
      <c r="K80" s="216"/>
    </row>
    <row r="81" spans="2:11" x14ac:dyDescent="0.25">
      <c r="B81" s="11">
        <v>1.8</v>
      </c>
      <c r="C81" s="208">
        <v>0.79916477690555099</v>
      </c>
      <c r="D81" s="208">
        <v>0.87237547240040603</v>
      </c>
      <c r="E81" s="208">
        <v>0.89982314755413095</v>
      </c>
      <c r="F81" s="208">
        <v>0.80119843658748302</v>
      </c>
      <c r="G81" s="208">
        <v>0.87210269236138305</v>
      </c>
      <c r="H81" s="208">
        <v>0.89862970923286301</v>
      </c>
      <c r="I81" s="208">
        <v>0.80148144052801495</v>
      </c>
      <c r="J81" s="208">
        <v>0.87021834087979399</v>
      </c>
      <c r="K81" s="216"/>
    </row>
    <row r="82" spans="2:11" x14ac:dyDescent="0.25">
      <c r="B82" s="11">
        <v>1.9</v>
      </c>
      <c r="C82" s="208">
        <v>0.79260110668314698</v>
      </c>
      <c r="D82" s="208">
        <v>0.86786851806528598</v>
      </c>
      <c r="E82" s="208">
        <v>0.89620021528870997</v>
      </c>
      <c r="F82" s="208">
        <v>0.79438958102696</v>
      </c>
      <c r="G82" s="208">
        <v>0.86737350860853502</v>
      </c>
      <c r="H82" s="208">
        <v>0.89479015195884704</v>
      </c>
      <c r="I82" s="208">
        <v>0.79437930011770597</v>
      </c>
      <c r="J82" s="208">
        <v>0.86520761126257695</v>
      </c>
      <c r="K82" s="216"/>
    </row>
    <row r="83" spans="2:11" x14ac:dyDescent="0.25">
      <c r="B83" s="11">
        <v>2</v>
      </c>
      <c r="C83" s="208">
        <v>0.78611531138359303</v>
      </c>
      <c r="D83" s="208">
        <v>0.86338840388537497</v>
      </c>
      <c r="E83" s="208">
        <v>0.89259148395211496</v>
      </c>
      <c r="F83" s="208">
        <v>0.78766333991728199</v>
      </c>
      <c r="G83" s="208">
        <v>0.86267394362870498</v>
      </c>
      <c r="H83" s="208">
        <v>0.89096696431330802</v>
      </c>
      <c r="I83" s="208">
        <v>0.78736549430094105</v>
      </c>
      <c r="J83" s="208">
        <v>0.86022998474025802</v>
      </c>
      <c r="K83" s="216"/>
    </row>
    <row r="84" spans="2:11" x14ac:dyDescent="0.25">
      <c r="B84" s="11">
        <v>2.1</v>
      </c>
      <c r="C84" s="208">
        <v>0.77970864167974696</v>
      </c>
      <c r="D84" s="208">
        <v>0.85893662139807703</v>
      </c>
      <c r="E84" s="208">
        <v>0.88899813882590994</v>
      </c>
      <c r="F84" s="208">
        <v>0.781020855358731</v>
      </c>
      <c r="G84" s="208">
        <v>0.85800540546058301</v>
      </c>
      <c r="H84" s="208">
        <v>0.88716125051571804</v>
      </c>
      <c r="I84" s="208">
        <v>0.78044101863182802</v>
      </c>
      <c r="J84" s="208">
        <v>0.855286769893157</v>
      </c>
      <c r="K84" s="216"/>
    </row>
    <row r="85" spans="2:11" x14ac:dyDescent="0.25">
      <c r="B85" s="11">
        <v>2.2000000000000002</v>
      </c>
      <c r="C85" s="208">
        <v>0.77338177065881997</v>
      </c>
      <c r="D85" s="208">
        <v>0.85451430206215395</v>
      </c>
      <c r="E85" s="208">
        <v>0.88542111012164904</v>
      </c>
      <c r="F85" s="208">
        <v>0.77446269089998199</v>
      </c>
      <c r="G85" s="208">
        <v>0.85336895055360695</v>
      </c>
      <c r="H85" s="208">
        <v>0.88337387083686203</v>
      </c>
      <c r="I85" s="208">
        <v>0.77360629218072596</v>
      </c>
      <c r="J85" s="208">
        <v>0.85037893318230795</v>
      </c>
      <c r="K85" s="216"/>
    </row>
    <row r="86" spans="2:11" x14ac:dyDescent="0.25">
      <c r="B86" s="11">
        <v>2.2999999999999998</v>
      </c>
      <c r="C86" s="208">
        <v>0.76713493131944199</v>
      </c>
      <c r="D86" s="208">
        <v>0.85012229724201005</v>
      </c>
      <c r="E86" s="208">
        <v>0.88186112896545699</v>
      </c>
      <c r="F86" s="208">
        <v>0.76798897013460798</v>
      </c>
      <c r="G86" s="208">
        <v>0.84876536208378495</v>
      </c>
      <c r="H86" s="208">
        <v>0.87960549524053</v>
      </c>
      <c r="I86" s="208">
        <v>0.766861296748794</v>
      </c>
      <c r="J86" s="208">
        <v>0.84550717543630505</v>
      </c>
      <c r="K86" s="216"/>
    </row>
    <row r="87" spans="2:11" x14ac:dyDescent="0.25">
      <c r="B87" s="11">
        <v>2.4</v>
      </c>
      <c r="C87" s="208">
        <v>0.760968019300167</v>
      </c>
      <c r="D87" s="208">
        <v>0.84576123819108395</v>
      </c>
      <c r="E87" s="208">
        <v>0.87831876939548503</v>
      </c>
      <c r="F87" s="208">
        <v>0.76159948021093404</v>
      </c>
      <c r="G87" s="208">
        <v>0.84419520867884101</v>
      </c>
      <c r="H87" s="208">
        <v>0.87585664362057802</v>
      </c>
      <c r="I87" s="208">
        <v>0.76020568078817896</v>
      </c>
      <c r="J87" s="208">
        <v>0.84067198919609698</v>
      </c>
      <c r="K87" s="216"/>
    </row>
    <row r="88" spans="2:11" x14ac:dyDescent="0.25">
      <c r="B88" s="11">
        <v>2.5</v>
      </c>
      <c r="C88" s="208">
        <v>0.75488067056468799</v>
      </c>
      <c r="D88" s="208">
        <v>0.84143158162457399</v>
      </c>
      <c r="E88" s="208">
        <v>0.87479448028334295</v>
      </c>
      <c r="F88" s="208">
        <v>0.75529375007170596</v>
      </c>
      <c r="G88" s="208">
        <v>0.83965888902872599</v>
      </c>
      <c r="H88" s="208">
        <v>0.87212771638188802</v>
      </c>
      <c r="I88" s="208">
        <v>0.75363883790537001</v>
      </c>
      <c r="J88" s="208">
        <v>0.83587370226890101</v>
      </c>
      <c r="K88" s="216"/>
    </row>
    <row r="90" spans="2:11" x14ac:dyDescent="0.25">
      <c r="C90" s="208" t="s">
        <v>261</v>
      </c>
      <c r="D90" s="256" t="s">
        <v>262</v>
      </c>
      <c r="E90" s="256"/>
      <c r="F90" s="208" t="s">
        <v>263</v>
      </c>
      <c r="G90" s="215"/>
      <c r="H90" s="215"/>
      <c r="I90" s="215"/>
      <c r="K90" s="215"/>
    </row>
    <row r="91" spans="2:11" ht="26.4" x14ac:dyDescent="0.25">
      <c r="B91" s="11" t="s">
        <v>182</v>
      </c>
      <c r="C91" s="217" t="s">
        <v>269</v>
      </c>
      <c r="D91" s="217" t="s">
        <v>270</v>
      </c>
      <c r="E91" s="217" t="s">
        <v>271</v>
      </c>
      <c r="F91" s="217" t="s">
        <v>272</v>
      </c>
      <c r="G91" s="216"/>
      <c r="H91" s="216"/>
      <c r="I91" s="216"/>
      <c r="K91" s="216"/>
    </row>
    <row r="92" spans="2:11" ht="14.4" customHeight="1" x14ac:dyDescent="0.25">
      <c r="B92" s="11">
        <v>0.01</v>
      </c>
      <c r="C92" s="208">
        <v>0.755421398553765</v>
      </c>
      <c r="D92" s="208">
        <v>0.82575583296351396</v>
      </c>
      <c r="E92" s="208">
        <v>0.80632521520497002</v>
      </c>
      <c r="F92" s="208">
        <v>0.81174605109459697</v>
      </c>
      <c r="G92" s="216"/>
      <c r="H92" s="216"/>
      <c r="I92" s="216"/>
      <c r="K92" s="216"/>
    </row>
    <row r="93" spans="2:11" ht="14.4" customHeight="1" x14ac:dyDescent="0.25">
      <c r="B93" s="11">
        <v>1.4999999999999999E-2</v>
      </c>
      <c r="C93" s="208">
        <v>0.80301342794689001</v>
      </c>
      <c r="D93" s="208">
        <v>0.84569107636947205</v>
      </c>
      <c r="E93" s="208">
        <v>0.829104342534285</v>
      </c>
      <c r="F93" s="208">
        <v>0.83284642911552498</v>
      </c>
      <c r="G93" s="216"/>
      <c r="H93" s="216"/>
      <c r="I93" s="216"/>
      <c r="K93" s="216"/>
    </row>
    <row r="94" spans="2:11" ht="14.4" customHeight="1" x14ac:dyDescent="0.25">
      <c r="B94" s="11">
        <v>0.02</v>
      </c>
      <c r="C94" s="208">
        <v>0.82910093874541302</v>
      </c>
      <c r="D94" s="208">
        <v>0.858536888628744</v>
      </c>
      <c r="E94" s="208">
        <v>0.84387534954676602</v>
      </c>
      <c r="F94" s="208">
        <v>0.84635742318643503</v>
      </c>
      <c r="G94" s="216"/>
      <c r="H94" s="216"/>
      <c r="I94" s="216"/>
      <c r="K94" s="216"/>
    </row>
    <row r="95" spans="2:11" ht="14.4" customHeight="1" x14ac:dyDescent="0.25">
      <c r="B95" s="11">
        <v>2.5000000000000001E-2</v>
      </c>
      <c r="C95" s="208">
        <v>0.84555794541265195</v>
      </c>
      <c r="D95" s="208">
        <v>0.86751577017746295</v>
      </c>
      <c r="E95" s="208">
        <v>0.85421871345949196</v>
      </c>
      <c r="F95" s="208">
        <v>0.85577037249901799</v>
      </c>
      <c r="G95" s="216"/>
      <c r="H95" s="216"/>
      <c r="I95" s="216"/>
      <c r="K95" s="216"/>
    </row>
    <row r="96" spans="2:11" ht="14.4" customHeight="1" x14ac:dyDescent="0.25">
      <c r="B96" s="11">
        <v>0.05</v>
      </c>
      <c r="C96" s="208">
        <v>0.88030781548034698</v>
      </c>
      <c r="D96" s="208">
        <v>0.88781791391357101</v>
      </c>
      <c r="E96" s="208">
        <v>0.8792505987932</v>
      </c>
      <c r="F96" s="208">
        <v>0.87794593243845498</v>
      </c>
      <c r="G96" s="216"/>
      <c r="H96" s="216"/>
      <c r="I96" s="216"/>
      <c r="K96" s="216"/>
    </row>
    <row r="97" spans="2:16" ht="14.4" customHeight="1" x14ac:dyDescent="0.25">
      <c r="B97" s="11">
        <v>7.4999999999999997E-2</v>
      </c>
      <c r="C97" s="208">
        <v>0.892302085402088</v>
      </c>
      <c r="D97" s="208">
        <v>0.89513589007462102</v>
      </c>
      <c r="E97" s="208">
        <v>0.889422040545648</v>
      </c>
      <c r="F97" s="208">
        <v>0.88592133154757802</v>
      </c>
      <c r="G97" s="216"/>
      <c r="H97" s="216"/>
      <c r="I97" s="216"/>
      <c r="K97" s="216"/>
    </row>
    <row r="98" spans="2:16" ht="14.4" customHeight="1" x14ac:dyDescent="0.25">
      <c r="B98" s="11">
        <v>0.1</v>
      </c>
      <c r="C98" s="208">
        <v>0.89824909409342402</v>
      </c>
      <c r="D98" s="208">
        <v>0.89863297244182505</v>
      </c>
      <c r="E98" s="208">
        <v>0.89324723633728997</v>
      </c>
      <c r="F98" s="208">
        <v>0.88950239051162805</v>
      </c>
      <c r="G98" s="216"/>
      <c r="H98" s="216"/>
      <c r="I98" s="216"/>
      <c r="K98" s="216"/>
      <c r="P98" s="218"/>
    </row>
    <row r="99" spans="2:16" ht="14.4" customHeight="1" x14ac:dyDescent="0.25">
      <c r="B99" s="11">
        <v>0.2</v>
      </c>
      <c r="C99" s="208">
        <v>0.90656387308721398</v>
      </c>
      <c r="D99" s="208">
        <v>0.90178756374331603</v>
      </c>
      <c r="E99" s="208">
        <v>0.89834338669050495</v>
      </c>
      <c r="F99" s="208">
        <v>0.89143942622376704</v>
      </c>
      <c r="G99" s="216"/>
      <c r="H99" s="216"/>
      <c r="I99" s="216"/>
      <c r="K99" s="216"/>
    </row>
    <row r="100" spans="2:16" ht="14.4" customHeight="1" x14ac:dyDescent="0.25">
      <c r="B100" s="11">
        <v>0.3</v>
      </c>
      <c r="C100" s="208">
        <v>0.90738036517578302</v>
      </c>
      <c r="D100" s="208">
        <v>0.90019387436990395</v>
      </c>
      <c r="E100" s="208">
        <v>0.89836981896438595</v>
      </c>
      <c r="F100" s="208">
        <v>0.88792219441981302</v>
      </c>
      <c r="G100" s="216"/>
      <c r="H100" s="216"/>
      <c r="I100" s="216"/>
      <c r="K100" s="216"/>
    </row>
    <row r="101" spans="2:16" ht="14.4" customHeight="1" x14ac:dyDescent="0.25">
      <c r="B101" s="11">
        <v>0.4</v>
      </c>
      <c r="C101" s="208">
        <v>0.90671728209037195</v>
      </c>
      <c r="D101" s="208">
        <v>0.89729388015984402</v>
      </c>
      <c r="E101" s="208">
        <v>0.89698186631995902</v>
      </c>
      <c r="F101" s="208">
        <v>0.88286379974818796</v>
      </c>
      <c r="G101" s="216"/>
      <c r="H101" s="216"/>
      <c r="I101" s="216"/>
      <c r="K101" s="216"/>
    </row>
    <row r="102" spans="2:16" ht="14.4" customHeight="1" x14ac:dyDescent="0.25">
      <c r="B102" s="11">
        <v>0.5</v>
      </c>
      <c r="C102" s="208">
        <v>0.90562726999313004</v>
      </c>
      <c r="D102" s="208">
        <v>0.89382244162633795</v>
      </c>
      <c r="E102" s="208">
        <v>0.89498973676204596</v>
      </c>
      <c r="F102" s="208">
        <v>0.87709638417615898</v>
      </c>
      <c r="G102" s="216"/>
      <c r="H102" s="216"/>
      <c r="I102" s="216"/>
      <c r="K102" s="216"/>
    </row>
    <row r="103" spans="2:16" ht="14.4" customHeight="1" x14ac:dyDescent="0.25">
      <c r="B103" s="11">
        <v>0.6</v>
      </c>
      <c r="C103" s="208">
        <v>0.90429110952328695</v>
      </c>
      <c r="D103" s="208">
        <v>0.890030592780926</v>
      </c>
      <c r="E103" s="208">
        <v>0.89267352455052895</v>
      </c>
      <c r="F103" s="208">
        <v>0.87090255893225199</v>
      </c>
      <c r="G103" s="216"/>
      <c r="H103" s="216"/>
      <c r="I103" s="216"/>
      <c r="K103" s="216"/>
    </row>
    <row r="104" spans="2:16" ht="14.4" customHeight="1" x14ac:dyDescent="0.25">
      <c r="B104" s="11">
        <v>0.7</v>
      </c>
      <c r="C104" s="208">
        <v>0.90280148370564695</v>
      </c>
      <c r="D104" s="208">
        <v>0.88602683734617105</v>
      </c>
      <c r="E104" s="208">
        <v>0.89015542457820096</v>
      </c>
      <c r="F104" s="208">
        <v>0.864403127690478</v>
      </c>
      <c r="G104" s="216"/>
      <c r="H104" s="216"/>
      <c r="I104" s="216"/>
      <c r="K104" s="216"/>
    </row>
    <row r="105" spans="2:16" ht="14.4" customHeight="1" x14ac:dyDescent="0.25">
      <c r="B105" s="11">
        <v>0.8</v>
      </c>
      <c r="C105" s="208">
        <v>0.90120779665018402</v>
      </c>
      <c r="D105" s="208">
        <v>0.88186524259778698</v>
      </c>
      <c r="E105" s="208">
        <v>0.88749698827661305</v>
      </c>
      <c r="F105" s="208">
        <v>0.85765707980496997</v>
      </c>
    </row>
  </sheetData>
  <mergeCells count="9">
    <mergeCell ref="C61:E61"/>
    <mergeCell ref="F61:H61"/>
    <mergeCell ref="I61:J61"/>
    <mergeCell ref="D90:E90"/>
    <mergeCell ref="C6:E6"/>
    <mergeCell ref="F6:H6"/>
    <mergeCell ref="C32:E32"/>
    <mergeCell ref="F32:H32"/>
    <mergeCell ref="I32:K32"/>
  </mergeCells>
  <dataValidations count="1">
    <dataValidation type="list" allowBlank="1" showInputMessage="1" showErrorMessage="1" sqref="I7" xr:uid="{00000000-0002-0000-0600-000000000000}">
      <formula1>$AJ$6:$AJ$7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256836E8651459990BF5B13FE0674" ma:contentTypeVersion="17" ma:contentTypeDescription="Create a new document." ma:contentTypeScope="" ma:versionID="323729216c215d32b42cc94159f098d5">
  <xsd:schema xmlns:xsd="http://www.w3.org/2001/XMLSchema" xmlns:xs="http://www.w3.org/2001/XMLSchema" xmlns:p="http://schemas.microsoft.com/office/2006/metadata/properties" xmlns:ns2="581a80d1-d65a-4c55-ad9b-3f115bad915e" xmlns:ns3="bc0dbfbe-3d01-4193-9c77-df95750a0735" targetNamespace="http://schemas.microsoft.com/office/2006/metadata/properties" ma:root="true" ma:fieldsID="1f769ac019af1d8ee8c0f4f71d432615" ns2:_="" ns3:_="">
    <xsd:import namespace="581a80d1-d65a-4c55-ad9b-3f115bad915e"/>
    <xsd:import namespace="bc0dbfbe-3d01-4193-9c77-df95750a07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a80d1-d65a-4c55-ad9b-3f115bad91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fbe-3d01-4193-9c77-df95750a07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9D80D1-D03B-4E71-93DD-A7CDC723E2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5155E-0E58-4620-B0D1-13245C7664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1a80d1-d65a-4c55-ad9b-3f115bad915e"/>
    <ds:schemaRef ds:uri="bc0dbfbe-3d01-4193-9c77-df95750a0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2D5065-1779-4136-9622-70E738660EB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186</vt:i4>
      </vt:variant>
    </vt:vector>
  </HeadingPairs>
  <TitlesOfParts>
    <vt:vector size="193" baseType="lpstr">
      <vt:lpstr>Document_Details</vt:lpstr>
      <vt:lpstr>Revision_History</vt:lpstr>
      <vt:lpstr>User_Guide</vt:lpstr>
      <vt:lpstr>FS84_QFN48EP_PDTCALC</vt:lpstr>
      <vt:lpstr>System_PDTCALC</vt:lpstr>
      <vt:lpstr>FS84_QFN48EP_UseCase</vt:lpstr>
      <vt:lpstr>Eff_Curves</vt:lpstr>
      <vt:lpstr>FS84_QFN48EP_PDTCALC!Boost</vt:lpstr>
      <vt:lpstr>FS84_QFN48EP_PDTCALC!Boost_Imax</vt:lpstr>
      <vt:lpstr>FS84_QFN48EP_PDTCALC!Buck1</vt:lpstr>
      <vt:lpstr>FS84_QFN48EP_PDTCALC!Buck1_Imax</vt:lpstr>
      <vt:lpstr>FS84_QFN48EP_PDTCALC!Buck3</vt:lpstr>
      <vt:lpstr>FS84_QFN48EP_PDTCALC!Buck3_Imax</vt:lpstr>
      <vt:lpstr>FS84_QFN48EP_PDTCALC!Cin_Boost</vt:lpstr>
      <vt:lpstr>FS84_QFN48EP_PDTCALC!Cin_Buck1</vt:lpstr>
      <vt:lpstr>FS84_QFN48EP_PDTCALC!Cin_Buck3</vt:lpstr>
      <vt:lpstr>FS84_QFN48EP_PDTCALC!Cin_Vpre</vt:lpstr>
      <vt:lpstr>FS84_QFN48EP_PDTCALC!Cout_Boost</vt:lpstr>
      <vt:lpstr>FS84_QFN48EP_PDTCALC!Cout_Buck1</vt:lpstr>
      <vt:lpstr>FS84_QFN48EP_PDTCALC!Cout_Buck3</vt:lpstr>
      <vt:lpstr>FS84_QFN48EP_PDTCALC!Cout_Vpre</vt:lpstr>
      <vt:lpstr>FS84_QFN48EP_PDTCALC!DCR_L_Boost</vt:lpstr>
      <vt:lpstr>FS84_QFN48EP_PDTCALC!DCR_L_Buck1</vt:lpstr>
      <vt:lpstr>FS84_QFN48EP_PDTCALC!DCR_L_Buck3</vt:lpstr>
      <vt:lpstr>FS84_QFN48EP_PDTCALC!DCR_L_Vpre</vt:lpstr>
      <vt:lpstr>DCR_PI_filter</vt:lpstr>
      <vt:lpstr>FS84_QFN48EP_PDTCALC!Delta_Il_Boost</vt:lpstr>
      <vt:lpstr>FS84_QFN48EP_PDTCALC!Delta_Il_Buck1</vt:lpstr>
      <vt:lpstr>FS84_QFN48EP_PDTCALC!Delta_IL_Buck3</vt:lpstr>
      <vt:lpstr>FS84_QFN48EP_PDTCALC!Delta_Il_Vpre</vt:lpstr>
      <vt:lpstr>FS84_QFN48EP_PDTCALC!Duty_Cycle_Boost</vt:lpstr>
      <vt:lpstr>FS84_QFN48EP_PDTCALC!Duty_Cycle_Buck1</vt:lpstr>
      <vt:lpstr>FS84_QFN48EP_PDTCALC!Duty_Cycle_Buck3</vt:lpstr>
      <vt:lpstr>FS84_QFN48EP_PDTCALC!Duty_Cycle_Vpre</vt:lpstr>
      <vt:lpstr>FS84_QFN48EP_PDTCALC!Eff_Boost</vt:lpstr>
      <vt:lpstr>FS84_QFN48EP_PDTCALC!Eff_Buck1</vt:lpstr>
      <vt:lpstr>FS84_QFN48EP_PDTCALC!Eff_Buck3</vt:lpstr>
      <vt:lpstr>FS84_QFN48EP_PDTCALC!Eff_LDO1</vt:lpstr>
      <vt:lpstr>FS84_QFN48EP_PDTCALC!Eff_LDO2</vt:lpstr>
      <vt:lpstr>FS84_QFN48EP_PDTCALC!Eff_Vpre</vt:lpstr>
      <vt:lpstr>FS84_QFN48EP_PDTCALC!ESR_Cin_Boost</vt:lpstr>
      <vt:lpstr>FS84_QFN48EP_PDTCALC!ESR_Cin_Buck1</vt:lpstr>
      <vt:lpstr>FS84_QFN48EP_PDTCALC!ESR_Cin_Buck3</vt:lpstr>
      <vt:lpstr>FS84_QFN48EP_PDTCALC!ESR_Cin_Vpre</vt:lpstr>
      <vt:lpstr>FS84_QFN48EP_PDTCALC!ESR_Cout_Boost</vt:lpstr>
      <vt:lpstr>FS84_QFN48EP_PDTCALC!ESR_Cout_Buck1</vt:lpstr>
      <vt:lpstr>FS84_QFN48EP_PDTCALC!ESR_Cout_Buck3</vt:lpstr>
      <vt:lpstr>FS84_QFN48EP_PDTCALC!ESR_Cout_Vpre</vt:lpstr>
      <vt:lpstr>FS84_QFN48EP_PDTCALC!FSW_Boost</vt:lpstr>
      <vt:lpstr>FS84_QFN48EP_PDTCALC!FSW_Buck1</vt:lpstr>
      <vt:lpstr>FS84_QFN48EP_PDTCALC!FSW_Buck3</vt:lpstr>
      <vt:lpstr>FS84_QFN48EP_PDTCALC!FSW_Vpre</vt:lpstr>
      <vt:lpstr>FS84_QFN48EP_PDTCALC!GHS_Buck1</vt:lpstr>
      <vt:lpstr>FS84_QFN48EP_PDTCALC!GHS_Buck3</vt:lpstr>
      <vt:lpstr>FS84_QFN48EP_PDTCALC!GHS_Vpre</vt:lpstr>
      <vt:lpstr>FS84_QFN48EP_PDTCALC!GLS_Boost</vt:lpstr>
      <vt:lpstr>FS84_QFN48EP_PDTCALC!GLS_Buck1</vt:lpstr>
      <vt:lpstr>FS84_QFN48EP_PDTCALC!GLS_Buck3</vt:lpstr>
      <vt:lpstr>FS84_QFN48EP_PDTCALC!GLS_Vpre</vt:lpstr>
      <vt:lpstr>HS_Igate_Vpre</vt:lpstr>
      <vt:lpstr>HS_QGD_Vpre</vt:lpstr>
      <vt:lpstr>HS_QGS_Vpre</vt:lpstr>
      <vt:lpstr>FS84_QFN48EP_PDTCALC!HS_Rdson_Buck1</vt:lpstr>
      <vt:lpstr>FS84_QFN48EP_PDTCALC!HS_Rdson_Buck3</vt:lpstr>
      <vt:lpstr>FS84_QFN48EP_PDTCALC!HS_Rdson_Vpre</vt:lpstr>
      <vt:lpstr>FS84_QFN48EP_PDTCALC!I_LDO1</vt:lpstr>
      <vt:lpstr>FS84_QFN48EP_PDTCALC!I_LDO2</vt:lpstr>
      <vt:lpstr>I_LDO3</vt:lpstr>
      <vt:lpstr>I_LDO4</vt:lpstr>
      <vt:lpstr>FS84_QFN48EP_PDTCALC!Iboost</vt:lpstr>
      <vt:lpstr>Iboost_add</vt:lpstr>
      <vt:lpstr>FS84_QFN48EP_PDTCALC!Iboost_in</vt:lpstr>
      <vt:lpstr>Iboost_tot</vt:lpstr>
      <vt:lpstr>FS84_QFN48EP_PDTCALC!Ibuck1</vt:lpstr>
      <vt:lpstr>FS84_QFN48EP_PDTCALC!Ibuck3</vt:lpstr>
      <vt:lpstr>FS84_QFN48EP_PDTCALC!Ibuck3_tot</vt:lpstr>
      <vt:lpstr>FS84_QFN48EP_PDTCALC!Ipeak_Boost</vt:lpstr>
      <vt:lpstr>FS84_QFN48EP_PDTCALC!Ipeak_Buck1</vt:lpstr>
      <vt:lpstr>FS84_QFN48EP_PDTCALC!Ipeak_Buck3</vt:lpstr>
      <vt:lpstr>FS84_QFN48EP_PDTCALC!Ipeak_Vpre</vt:lpstr>
      <vt:lpstr>FS84_QFN48EP_PDTCALC!Ipre</vt:lpstr>
      <vt:lpstr>FS84_QFN48EP_PDTCALC!Ipre_add</vt:lpstr>
      <vt:lpstr>ISUP</vt:lpstr>
      <vt:lpstr>FS84_QFN48EP_PDTCALC!L_Boost</vt:lpstr>
      <vt:lpstr>FS84_QFN48EP_PDTCALC!L_Buck1</vt:lpstr>
      <vt:lpstr>FS84_QFN48EP_PDTCALC!L_Buck3</vt:lpstr>
      <vt:lpstr>FS84_QFN48EP_PDTCALC!L_Vpre</vt:lpstr>
      <vt:lpstr>FS84_QFN48EP_PDTCALC!LDO1_Imax</vt:lpstr>
      <vt:lpstr>FS84_QFN48EP_PDTCALC!LDO1_in</vt:lpstr>
      <vt:lpstr>FS84_QFN48EP_PDTCALC!LDO2_Imax</vt:lpstr>
      <vt:lpstr>LDO3_in</vt:lpstr>
      <vt:lpstr>LDO3_out</vt:lpstr>
      <vt:lpstr>LDO4_in</vt:lpstr>
      <vt:lpstr>LDO4_out</vt:lpstr>
      <vt:lpstr>LS_Igate_Vpre</vt:lpstr>
      <vt:lpstr>LS_QGD_Vpre</vt:lpstr>
      <vt:lpstr>LS_QGS_Vpre</vt:lpstr>
      <vt:lpstr>LS_QRR_VPRE</vt:lpstr>
      <vt:lpstr>FS84_QFN48EP_PDTCALC!LS_Rdson_Boost</vt:lpstr>
      <vt:lpstr>FS84_QFN48EP_PDTCALC!LS_Rdson_Buck1</vt:lpstr>
      <vt:lpstr>FS84_QFN48EP_PDTCALC!LS_Rdson_Buck3</vt:lpstr>
      <vt:lpstr>FS84_QFN48EP_PDTCALC!LS_Rdson_Vpre</vt:lpstr>
      <vt:lpstr>LS_SlewRate</vt:lpstr>
      <vt:lpstr>FS84_QFN48EP_PDTCALC!P_Cin_Boost</vt:lpstr>
      <vt:lpstr>FS84_QFN48EP_PDTCALC!P_Cin_Buck1</vt:lpstr>
      <vt:lpstr>FS84_QFN48EP_PDTCALC!P_Cin_Buck3</vt:lpstr>
      <vt:lpstr>FS84_QFN48EP_PDTCALC!P_Cin_Vpre</vt:lpstr>
      <vt:lpstr>FS84_QFN48EP_PDTCALC!P_Cout_Boost</vt:lpstr>
      <vt:lpstr>FS84_QFN48EP_PDTCALC!P_Cout_Buck1</vt:lpstr>
      <vt:lpstr>FS84_QFN48EP_PDTCALC!P_Cout_Buck3</vt:lpstr>
      <vt:lpstr>FS84_QFN48EP_PDTCALC!P_Cout_Vpre</vt:lpstr>
      <vt:lpstr>FS84_QFN48EP_PDTCALC!P_diode_Boost</vt:lpstr>
      <vt:lpstr>P_DT</vt:lpstr>
      <vt:lpstr>FS84_QFN48EP_PDTCALC!P_HS_Cond_Buck1</vt:lpstr>
      <vt:lpstr>FS84_QFN48EP_PDTCALC!P_HS_cond_Buck3</vt:lpstr>
      <vt:lpstr>FS84_QFN48EP_PDTCALC!P_HS_Cond_Vpre</vt:lpstr>
      <vt:lpstr>FS84_QFN48EP_PDTCALC!P_HS_sw_Buck1</vt:lpstr>
      <vt:lpstr>FS84_QFN48EP_PDTCALC!P_HS_sw_Buck3</vt:lpstr>
      <vt:lpstr>FS84_QFN48EP_PDTCALC!P_HS_sw_Vpre</vt:lpstr>
      <vt:lpstr>FS84_QFN48EP_PDTCALC!P_L_Boost</vt:lpstr>
      <vt:lpstr>FS84_QFN48EP_PDTCALC!P_L_Buck1</vt:lpstr>
      <vt:lpstr>FS84_QFN48EP_PDTCALC!P_L_Buck3</vt:lpstr>
      <vt:lpstr>FS84_QFN48EP_PDTCALC!P_L_Vpre</vt:lpstr>
      <vt:lpstr>FS84_QFN48EP_PDTCALC!P_LS_cond_Boost</vt:lpstr>
      <vt:lpstr>FS84_QFN48EP_PDTCALC!P_LS_Cond_Buck1</vt:lpstr>
      <vt:lpstr>FS84_QFN48EP_PDTCALC!P_LS_cond_Buck3</vt:lpstr>
      <vt:lpstr>FS84_QFN48EP_PDTCALC!P_LS_Cond_Vpre</vt:lpstr>
      <vt:lpstr>FS84_QFN48EP_PDTCALC!P_LS_sw_Boost</vt:lpstr>
      <vt:lpstr>FS84_QFN48EP_PDTCALC!P_LS_sw_Buck1</vt:lpstr>
      <vt:lpstr>FS84_QFN48EP_PDTCALC!P_LS_sw_Buck3</vt:lpstr>
      <vt:lpstr>FS84_QFN48EP_PDTCALC!P_LS_sw_Vpre</vt:lpstr>
      <vt:lpstr>P_Qrr</vt:lpstr>
      <vt:lpstr>FS84_QFN48EP_PDTCALC!P_R_Shunt</vt:lpstr>
      <vt:lpstr>FS84_QFN48EP_PDTCALC!Pdis_IC_Boost</vt:lpstr>
      <vt:lpstr>FS84_QFN48EP_PDTCALC!Pdis_IC_Buck1</vt:lpstr>
      <vt:lpstr>FS84_QFN48EP_PDTCALC!Pdis_IC_Buck3</vt:lpstr>
      <vt:lpstr>FS84_QFN48EP_PDTCALC!Pdis_IC_LDO1</vt:lpstr>
      <vt:lpstr>FS84_QFN48EP_PDTCALC!Pdis_IC_LDO2</vt:lpstr>
      <vt:lpstr>FS84_QFN48EP_PDTCALC!Pdis_IC_Vpre</vt:lpstr>
      <vt:lpstr>FS84_QFN48EP_PDTCALC!Pdis_Int_IC</vt:lpstr>
      <vt:lpstr>FS84_QFN48EP_PDTCALC!Pdis_LDO3</vt:lpstr>
      <vt:lpstr>Pdis_LDO3</vt:lpstr>
      <vt:lpstr>FS84_QFN48EP_PDTCALC!Pdis_LDO4</vt:lpstr>
      <vt:lpstr>Pdis_LDO4</vt:lpstr>
      <vt:lpstr>FS84_QFN48EP_PDTCALC!Pdis_PI_filter</vt:lpstr>
      <vt:lpstr>Pdis_PI_filter</vt:lpstr>
      <vt:lpstr>FS84_QFN48EP_PDTCALC!Pdis_RB_diode</vt:lpstr>
      <vt:lpstr>Pdis_RB_diode</vt:lpstr>
      <vt:lpstr>FS84_QFN48EP_PDTCALC!Pdis_tot_Boost</vt:lpstr>
      <vt:lpstr>FS84_QFN48EP_PDTCALC!Pdis_tot_Buck1</vt:lpstr>
      <vt:lpstr>FS84_QFN48EP_PDTCALC!Pdis_tot_Buck3</vt:lpstr>
      <vt:lpstr>FS84_QFN48EP_PDTCALC!Pdis_tot_Vpre</vt:lpstr>
      <vt:lpstr>FS84_QFN48EP_PDTCALC!Pout_Boost</vt:lpstr>
      <vt:lpstr>FS84_QFN48EP_PDTCALC!Pout_Buck1</vt:lpstr>
      <vt:lpstr>FS84_QFN48EP_PDTCALC!Pout_Buck3</vt:lpstr>
      <vt:lpstr>FS84_QFN48EP_PDTCALC!Pout_LDO1</vt:lpstr>
      <vt:lpstr>FS84_QFN48EP_PDTCALC!Pout_LDO2</vt:lpstr>
      <vt:lpstr>FS84_QFN48EP_PDTCALC!Pout_LDO3</vt:lpstr>
      <vt:lpstr>Pout_LDO3</vt:lpstr>
      <vt:lpstr>FS84_QFN48EP_PDTCALC!Pout_LDO4</vt:lpstr>
      <vt:lpstr>Pout_LDO4</vt:lpstr>
      <vt:lpstr>FS84_QFN48EP_PDTCALC!Pout_Vpre</vt:lpstr>
      <vt:lpstr>FS84_QFN48EP_PDTCALC!QHS_Buck1</vt:lpstr>
      <vt:lpstr>FS84_QFN48EP_PDTCALC!QHS_Buck3</vt:lpstr>
      <vt:lpstr>FS84_QFN48EP_PDTCALC!QHS_Vpre</vt:lpstr>
      <vt:lpstr>FS84_QFN48EP_PDTCALC!QLS_Boost</vt:lpstr>
      <vt:lpstr>FS84_QFN48EP_PDTCALC!QLS_Buck1</vt:lpstr>
      <vt:lpstr>FS84_QFN48EP_PDTCALC!QLS_Buck3</vt:lpstr>
      <vt:lpstr>FS84_QFN48EP_PDTCALC!QLS_VPRE</vt:lpstr>
      <vt:lpstr>RB_diode</vt:lpstr>
      <vt:lpstr>FS84_QFN48EP_PDTCALC!Rg</vt:lpstr>
      <vt:lpstr>FS84_QFN48EP_PDTCALC!Ripple_Boost</vt:lpstr>
      <vt:lpstr>FS84_QFN48EP_PDTCALC!Ripple_Buck1</vt:lpstr>
      <vt:lpstr>FS84_QFN48EP_PDTCALC!Ripple_Buck3</vt:lpstr>
      <vt:lpstr>FS84_QFN48EP_PDTCALC!Ripple_vpre</vt:lpstr>
      <vt:lpstr>FS84_QFN48EP_PDTCALC!Rpd</vt:lpstr>
      <vt:lpstr>FS84_QFN48EP_PDTCALC!Rpu</vt:lpstr>
      <vt:lpstr>Rshunt</vt:lpstr>
      <vt:lpstr>FS84_QFN48EP_PDTCALC!RTH_ja</vt:lpstr>
      <vt:lpstr>FS84_QFN48EP_PDTCALC!THS_sw_Buck1</vt:lpstr>
      <vt:lpstr>FS84_QFN48EP_PDTCALC!THS_sw_Buck3</vt:lpstr>
      <vt:lpstr>FS84_QFN48EP_PDTCALC!THS_sw_Vpre</vt:lpstr>
      <vt:lpstr>FS84_QFN48EP_PDTCALC!TJ_max</vt:lpstr>
      <vt:lpstr>FS84_QFN48EP_PDTCALC!TLS_sw_Boost</vt:lpstr>
      <vt:lpstr>FS84_QFN48EP_PDTCALC!TLS_sw_Buck1</vt:lpstr>
      <vt:lpstr>FS84_QFN48EP_PDTCALC!TLS_sw_Buck3</vt:lpstr>
      <vt:lpstr>FS84_QFN48EP_PDTCALC!TLS_sw_Vpre</vt:lpstr>
      <vt:lpstr>FS84_QFN48EP_PDTCALC!Vdiode_Boost</vt:lpstr>
      <vt:lpstr>FS84_QFN48EP_PDTCALC!VLDO1</vt:lpstr>
      <vt:lpstr>FS84_QFN48EP_PDTCALC!VLDO2</vt:lpstr>
      <vt:lpstr>FS84_QFN48EP_PDTCALC!Vpre</vt:lpstr>
      <vt:lpstr>FS84_QFN48EP_PDTCALC!Vpre_Imax</vt:lpstr>
      <vt:lpstr>FS84_QFN48EP_PDTCALC!Vsup</vt:lpstr>
    </vt:vector>
  </TitlesOfParts>
  <Company>Freescale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b19789</dc:creator>
  <dc:description/>
  <cp:lastModifiedBy>Aurelien Sanchez</cp:lastModifiedBy>
  <cp:revision>0</cp:revision>
  <cp:lastPrinted>2013-11-12T10:59:10Z</cp:lastPrinted>
  <dcterms:created xsi:type="dcterms:W3CDTF">2008-10-13T15:46:26Z</dcterms:created>
  <dcterms:modified xsi:type="dcterms:W3CDTF">2021-06-04T12:36:56Z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Freescale</vt:lpwstr>
  </property>
  <property fmtid="{D5CDD505-2E9C-101B-9397-08002B2CF9AE}" pid="4" name="ContentTypeId">
    <vt:lpwstr>0x0101000FE256836E8651459990BF5B13FE0674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