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vsd" ContentType="application/vnd.visi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E:\3-FS45&amp;FS65\7-Analysis Tools\4-Power-Dissipation-Calculation\"/>
    </mc:Choice>
  </mc:AlternateContent>
  <xr:revisionPtr revIDLastSave="0" documentId="13_ncr:1_{05F771C4-A5EA-4A3B-9C44-2A5EB8097F6A}" xr6:coauthVersionLast="44" xr6:coauthVersionMax="44" xr10:uidLastSave="{00000000-0000-0000-0000-000000000000}"/>
  <bookViews>
    <workbookView xWindow="-108" yWindow="-108" windowWidth="23256" windowHeight="12576" tabRatio="786" activeTab="3" xr2:uid="{00000000-000D-0000-FFFF-FFFF00000000}"/>
  </bookViews>
  <sheets>
    <sheet name="Document_Details" sheetId="13" r:id="rId1"/>
    <sheet name="Revision_History" sheetId="12" r:id="rId2"/>
    <sheet name="User_Guide" sheetId="11" r:id="rId3"/>
    <sheet name="FS6500_FS4500_PDTCALC" sheetId="10" r:id="rId4"/>
    <sheet name="FS6500_Application_Schematic" sheetId="7" r:id="rId5"/>
    <sheet name="FS4500_Application_Schematic" sheetId="14" r:id="rId6"/>
  </sheets>
  <definedNames>
    <definedName name="Beta_Vaux" localSheetId="3">FS6500_FS4500_PDTCALC!$AD$16</definedName>
    <definedName name="Beta_Vcca" localSheetId="3">FS6500_FS4500_PDTCALC!$AA$16</definedName>
    <definedName name="CAN_bit_DC">FS6500_FS4500_PDTCALC!$AM$14</definedName>
    <definedName name="CAN_frame_DC">FS6500_FS4500_PDTCALC!$AM$13</definedName>
    <definedName name="CAN_Ibus">FS6500_FS4500_PDTCALC!$AM$20</definedName>
    <definedName name="CAN_Icell">FS6500_FS4500_PDTCALC!$AM$16</definedName>
    <definedName name="CAN_Rbus">FS6500_FS4500_PDTCALC!$AM$17</definedName>
    <definedName name="CAN_Rdriver">FS6500_FS4500_PDTCALC!$AM$18</definedName>
    <definedName name="CAN_SLEEP">FS6500_FS4500_PDTCALC!$AM$12</definedName>
    <definedName name="CAN_traffic_DC">FS6500_FS4500_PDTCALC!$AM$15</definedName>
    <definedName name="Cg_Vcore" localSheetId="3">FS6500_FS4500_PDTCALC!$R$14</definedName>
    <definedName name="Cg_Vpre" localSheetId="3">FS6500_FS4500_PDTCALC!$F$14</definedName>
    <definedName name="Cin_Vcore" localSheetId="3">FS6500_FS4500_PDTCALC!$O$13</definedName>
    <definedName name="Cin_Vpre">FS6500_FS4500_PDTCALC!$C$13</definedName>
    <definedName name="Cout_Vcore" localSheetId="3">FS6500_FS4500_PDTCALC!$O$15</definedName>
    <definedName name="Cout_Vpre" localSheetId="3">FS6500_FS4500_PDTCALC!$C$15</definedName>
    <definedName name="dcr_Vcore" localSheetId="3">FS6500_FS4500_PDTCALC!$O$18</definedName>
    <definedName name="dcr_Vpre" localSheetId="3">FS6500_FS4500_PDTCALC!$C$18</definedName>
    <definedName name="Delta_IL_Vcore" localSheetId="3">FS6500_FS4500_PDTCALC!$R$32</definedName>
    <definedName name="Delta_IL_Vpre" localSheetId="3">FS6500_FS4500_PDTCALC!$F$32</definedName>
    <definedName name="duty_cycle_Vcore" localSheetId="3">FS6500_FS4500_PDTCALC!$R$22</definedName>
    <definedName name="duty_cycle_Vpre" localSheetId="3">FS6500_FS4500_PDTCALC!$F$22</definedName>
    <definedName name="Eff_CAN">FS6500_FS4500_PDTCALC!$AM$24</definedName>
    <definedName name="Eff_Vaux">FS6500_FS4500_PDTCALC!$AD$24</definedName>
    <definedName name="Eff_Vcan">FS6500_FS4500_PDTCALC!$AJ$24</definedName>
    <definedName name="Eff_Vcca">FS6500_FS4500_PDTCALC!$AA$24</definedName>
    <definedName name="Eff_Vcore_Linear">FS6500_FS4500_PDTCALC!$X$24</definedName>
    <definedName name="Efficiency_Vcore" localSheetId="3">FS6500_FS4500_PDTCALC!$O$34</definedName>
    <definedName name="Efficiency_Vpre" localSheetId="3">FS6500_FS4500_PDTCALC!$C$34</definedName>
    <definedName name="ESR_Cin_Vcore" localSheetId="3">FS6500_FS4500_PDTCALC!$O$14</definedName>
    <definedName name="ESR_Cin_Vpre">FS6500_FS4500_PDTCALC!$C$14</definedName>
    <definedName name="ESR_Cout_Vcore" localSheetId="3">FS6500_FS4500_PDTCALC!$O$16</definedName>
    <definedName name="ESR_Cout_Vpre" localSheetId="3">FS6500_FS4500_PDTCALC!$C$16</definedName>
    <definedName name="fsw_Vcore" localSheetId="3">FS6500_FS4500_PDTCALC!$U$19</definedName>
    <definedName name="fsw_Vpre" localSheetId="3">FS6500_FS4500_PDTCALC!$I$19</definedName>
    <definedName name="I_Cout_rms_Vcore" localSheetId="3">FS6500_FS4500_PDTCALC!$R$29</definedName>
    <definedName name="I_Cout_rms_Vpre" localSheetId="3">FS6500_FS4500_PDTCALC!$F$29</definedName>
    <definedName name="I_IC" localSheetId="3">FS6500_FS4500_PDTCALC!$AC$38</definedName>
    <definedName name="I_L_rms_Vcore" localSheetId="3">FS6500_FS4500_PDTCALC!$R$30</definedName>
    <definedName name="I_L_rms_Vpre" localSheetId="3">FS6500_FS4500_PDTCALC!$F$30</definedName>
    <definedName name="Iaux_PNP" localSheetId="3">FS6500_FS4500_PDTCALC!$AD$17</definedName>
    <definedName name="Ican" localSheetId="3">FS6500_FS4500_PDTCALC!$AJ$13</definedName>
    <definedName name="Icca" localSheetId="3">FS6500_FS4500_PDTCALC!$AA$13</definedName>
    <definedName name="Icca_PNP" localSheetId="3">FS6500_FS4500_PDTCALC!$AA$17</definedName>
    <definedName name="Icore">FS6500_FS4500_PDTCALC!$I$16</definedName>
    <definedName name="Icore_Linear">FS6500_FS4500_PDTCALC!$X$13</definedName>
    <definedName name="Ikam">FS6500_FS4500_PDTCALC!$AG$13</definedName>
    <definedName name="Iout_Vcore" localSheetId="3">FS6500_FS4500_PDTCALC!$U$17</definedName>
    <definedName name="Iout_Vpre" localSheetId="3">FS6500_FS4500_PDTCALC!$I$17</definedName>
    <definedName name="Ipeak_Vcore" localSheetId="3">FS6500_FS4500_PDTCALC!$R$33</definedName>
    <definedName name="Ipeak_Vpre" localSheetId="3">FS6500_FS4500_PDTCALC!$F$33</definedName>
    <definedName name="IVpre_adder" localSheetId="3">FS6500_FS4500_PDTCALC!$L$17</definedName>
    <definedName name="L_Vcore" localSheetId="3">FS6500_FS4500_PDTCALC!$O$17</definedName>
    <definedName name="L_Vpre" localSheetId="3">FS6500_FS4500_PDTCALC!$C$17</definedName>
    <definedName name="LIN_bit_DC">FS6500_FS4500_PDTCALC!$AP$14</definedName>
    <definedName name="LIN_Diode">FS6500_FS4500_PDTCALC!$AP$19</definedName>
    <definedName name="LIN_frame_DC">FS6500_FS4500_PDTCALC!$AP$13</definedName>
    <definedName name="LIN_Ibus">FS6500_FS4500_PDTCALC!$AP$20</definedName>
    <definedName name="LIN_ICell">FS6500_FS4500_PDTCALC!$AP$16</definedName>
    <definedName name="LIN_pullup">FS6500_FS4500_PDTCALC!$AP$17</definedName>
    <definedName name="LIN_Rdriver">FS6500_FS4500_PDTCALC!$AP$18</definedName>
    <definedName name="LIN_Sleep">FS6500_FS4500_PDTCALC!$AP$12</definedName>
    <definedName name="LIN_traffic_DC">FS6500_FS4500_PDTCALC!$AP$15</definedName>
    <definedName name="Overdrive_Vcore" localSheetId="3">FS6500_FS4500_PDTCALC!$R$17</definedName>
    <definedName name="Overdrive_Vpre" localSheetId="3">FS6500_FS4500_PDTCALC!$F$17</definedName>
    <definedName name="P_Cin_Vcore">FS6500_FS4500_PDTCALC!$O$24</definedName>
    <definedName name="P_Cin_Vpre">FS6500_FS4500_PDTCALC!$C$24</definedName>
    <definedName name="P_cond_Vcore" localSheetId="3">FS6500_FS4500_PDTCALC!$O$25</definedName>
    <definedName name="P_cond_Vpre" localSheetId="3">FS6500_FS4500_PDTCALC!$C$25</definedName>
    <definedName name="P_Cout_Vcore" localSheetId="3">FS6500_FS4500_PDTCALC!$O$29</definedName>
    <definedName name="P_Cout_Vpre" localSheetId="3">FS6500_FS4500_PDTCALC!$C$29</definedName>
    <definedName name="P_diode_Vcore" localSheetId="3">FS6500_FS4500_PDTCALC!$O$28</definedName>
    <definedName name="P_diode_Vpre" localSheetId="3">FS6500_FS4500_PDTCALC!$C$28</definedName>
    <definedName name="P_L_Vcore" localSheetId="3">FS6500_FS4500_PDTCALC!$O$30</definedName>
    <definedName name="P_L_Vpre" localSheetId="3">FS6500_FS4500_PDTCALC!$C$30</definedName>
    <definedName name="P_sw_Vcore" localSheetId="3">FS6500_FS4500_PDTCALC!$O$26</definedName>
    <definedName name="P_sw_Vpre" localSheetId="3">FS6500_FS4500_PDTCALC!$C$26</definedName>
    <definedName name="Package_Pdis_max">FS6500_FS4500_PDTCALC!$Q$4</definedName>
    <definedName name="Pdis_aux" localSheetId="3">FS6500_FS4500_PDTCALC!$AD$23</definedName>
    <definedName name="Pdis_can" localSheetId="3">FS6500_FS4500_PDTCALC!$AJ$23</definedName>
    <definedName name="Pdis_CAN_PHY">FS6500_FS4500_PDTCALC!$AM$23</definedName>
    <definedName name="Pdis_cca" localSheetId="3">FS6500_FS4500_PDTCALC!$AA$23</definedName>
    <definedName name="Pdis_IC" localSheetId="3">FS6500_FS4500_PDTCALC!$AF$38</definedName>
    <definedName name="Pdis_IC_Vcore" localSheetId="3">FS6500_FS4500_PDTCALC!$O$33</definedName>
    <definedName name="Pdis_IC_Vpre" localSheetId="3">FS6500_FS4500_PDTCALC!$C$33</definedName>
    <definedName name="Pdis_kam">FS6500_FS4500_PDTCALC!$AG$23</definedName>
    <definedName name="Pdis_LIN_PHY">FS6500_FS4500_PDTCALC!$AP$23</definedName>
    <definedName name="Pdis_tot_Vcore" localSheetId="3">FS6500_FS4500_PDTCALC!$O$32</definedName>
    <definedName name="Pdis_tot_Vpre" localSheetId="3">FS6500_FS4500_PDTCALC!$C$32</definedName>
    <definedName name="Pdis_Transceiver">FS6500_FS4500_PDTCALC!$AM$23</definedName>
    <definedName name="Pdis_Vcore_Linear">FS6500_FS4500_PDTCALC!$X$23</definedName>
    <definedName name="Pout_aux" localSheetId="3">FS6500_FS4500_PDTCALC!$AD$22</definedName>
    <definedName name="Pout_can" localSheetId="3">FS6500_FS4500_PDTCALC!$AJ$22</definedName>
    <definedName name="Pout_can_PHY">FS6500_FS4500_PDTCALC!$AM$22</definedName>
    <definedName name="Pout_cca" localSheetId="3">FS6500_FS4500_PDTCALC!$AA$22</definedName>
    <definedName name="Pout_kam">FS6500_FS4500_PDTCALC!$AG$22</definedName>
    <definedName name="Pout_Vcore" localSheetId="3">FS6500_FS4500_PDTCALC!$U$22</definedName>
    <definedName name="Pout_Vcore_Linear">FS6500_FS4500_PDTCALC!$X$22</definedName>
    <definedName name="Pout_Vpre" localSheetId="3">FS6500_FS4500_PDTCALC!$I$22</definedName>
    <definedName name="Pout_Vpre_adder" localSheetId="3">FS6500_FS4500_PDTCALC!$L$22</definedName>
    <definedName name="_xlnm.Print_Area" localSheetId="4">FS6500_Application_Schematic!$A$1:$G$36</definedName>
    <definedName name="_xlnm.Print_Area" localSheetId="3">FS6500_FS4500_PDTCALC!$A$4:$AN$67</definedName>
    <definedName name="Rdson_Vcore" localSheetId="3">FS6500_FS4500_PDTCALC!$R$13</definedName>
    <definedName name="Rdson_Vpre" localSheetId="3">FS6500_FS4500_PDTCALC!$F$13</definedName>
    <definedName name="Ron_Vaux" localSheetId="3">FS6500_FS4500_PDTCALC!$AD$13</definedName>
    <definedName name="toff_Vcore" localSheetId="3">FS6500_FS4500_PDTCALC!$R$25</definedName>
    <definedName name="toff_Vpre" localSheetId="3">FS6500_FS4500_PDTCALC!$F$25</definedName>
    <definedName name="ton_Vcore" localSheetId="3">FS6500_FS4500_PDTCALC!$R$24</definedName>
    <definedName name="ton_Vpre" localSheetId="3">FS6500_FS4500_PDTCALC!$F$24</definedName>
    <definedName name="tswoff_Vcore" localSheetId="3">FS6500_FS4500_PDTCALC!$R$16</definedName>
    <definedName name="tswoff_Vpre" localSheetId="3">FS6500_FS4500_PDTCALC!$F$16</definedName>
    <definedName name="tswon_Vcore" localSheetId="3">FS6500_FS4500_PDTCALC!$R$15</definedName>
    <definedName name="tswon_Vpre" localSheetId="3">FS6500_FS4500_PDTCALC!$F$15</definedName>
    <definedName name="Vaux" localSheetId="3">FS6500_FS4500_PDTCALC!$AD$12</definedName>
    <definedName name="Vaux_PNP_Th">FS6500_FS4500_PDTCALC!$I$6</definedName>
    <definedName name="Vcan" localSheetId="3">FS6500_FS4500_PDTCALC!$AJ$12</definedName>
    <definedName name="Vcan_Th">FS6500_FS4500_PDTCALC!$K$5</definedName>
    <definedName name="Vcca" localSheetId="3">FS6500_FS4500_PDTCALC!$AA$12</definedName>
    <definedName name="Vcca_Int_Th">FS6500_FS4500_PDTCALC!$H$5</definedName>
    <definedName name="Vcca_PNP_Th">FS6500_FS4500_PDTCALC!$H$6</definedName>
    <definedName name="Vcore_Linear">FS6500_FS4500_PDTCALC!$X$12</definedName>
    <definedName name="Vcore_Linear_TH">FS6500_FS4500_PDTCALC!$F$5</definedName>
    <definedName name="Vcore_Th">FS6500_FS4500_PDTCALC!$E$5</definedName>
    <definedName name="Vdiode_Vcore" localSheetId="3">FS6500_FS4500_PDTCALC!$O$19</definedName>
    <definedName name="Vdiode_Vpre" localSheetId="3">FS6500_FS4500_PDTCALC!$C$19</definedName>
    <definedName name="Vdrop_MOS_Vcore" localSheetId="3">FS6500_FS4500_PDTCALC!$O$22</definedName>
    <definedName name="Vdrop_MOS_Vpre" localSheetId="3">FS6500_FS4500_PDTCALC!$C$22</definedName>
    <definedName name="Vin_Vcore" localSheetId="3">FS6500_FS4500_PDTCALC!$U$13</definedName>
    <definedName name="VKAM">FS6500_FS4500_PDTCALC!$AG$12</definedName>
    <definedName name="Vout_Vcore" localSheetId="3">FS6500_FS4500_PDTCALC!$U$15</definedName>
    <definedName name="Vout_Vpre" localSheetId="3">FS6500_FS4500_PDTCALC!$I$15</definedName>
    <definedName name="Vpre_TH">FS6500_FS4500_PDTCALC!$L$5</definedName>
    <definedName name="VSUP" localSheetId="3">FS6500_FS4500_PDTCALC!$I$13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4" i="10" l="1"/>
  <c r="AG23" i="10" l="1"/>
  <c r="AF35" i="10" s="1"/>
  <c r="AG22" i="10"/>
  <c r="O13" i="10"/>
  <c r="AG24" i="10" l="1"/>
  <c r="AG35" i="10" s="1"/>
  <c r="U13" i="10"/>
  <c r="O26" i="10" s="1"/>
  <c r="X23" i="10"/>
  <c r="AF31" i="10" s="1"/>
  <c r="X22" i="10"/>
  <c r="X14" i="10"/>
  <c r="X24" i="10" l="1"/>
  <c r="AG31" i="10" s="1"/>
  <c r="AP20" i="10"/>
  <c r="AP15" i="10"/>
  <c r="I18" i="10"/>
  <c r="AM20" i="10"/>
  <c r="AJ14" i="10"/>
  <c r="AD18" i="10"/>
  <c r="AA14" i="10"/>
  <c r="AA18" i="10"/>
  <c r="U18" i="10"/>
  <c r="AJ23" i="10"/>
  <c r="AJ22" i="10"/>
  <c r="AJ24" i="10" s="1"/>
  <c r="AG34" i="10" s="1"/>
  <c r="AA23" i="10"/>
  <c r="AA22" i="10"/>
  <c r="AD22" i="10"/>
  <c r="AD23" i="10"/>
  <c r="AM15" i="10"/>
  <c r="AM22" i="10" l="1"/>
  <c r="AP23" i="10"/>
  <c r="AF37" i="10" s="1"/>
  <c r="AM23" i="10"/>
  <c r="AF36" i="10" s="1"/>
  <c r="AF38" i="10"/>
  <c r="AF33" i="10"/>
  <c r="AF32" i="10"/>
  <c r="U22" i="10"/>
  <c r="O22" i="10"/>
  <c r="L22" i="10"/>
  <c r="AM24" i="10" l="1"/>
  <c r="AG36" i="10" s="1"/>
  <c r="AA24" i="10"/>
  <c r="AD24" i="10"/>
  <c r="AG33" i="10" s="1"/>
  <c r="R22" i="10"/>
  <c r="R32" i="10" s="1"/>
  <c r="R34" i="10" l="1"/>
  <c r="AG32" i="10"/>
  <c r="AF34" i="10"/>
  <c r="R33" i="10"/>
  <c r="R29" i="10"/>
  <c r="O29" i="10" s="1"/>
  <c r="T32" i="10"/>
  <c r="R30" i="10"/>
  <c r="O30" i="10" s="1"/>
  <c r="O28" i="10"/>
  <c r="O25" i="10"/>
  <c r="R25" i="10"/>
  <c r="R24" i="10"/>
  <c r="O32" i="10" l="1"/>
  <c r="O33" i="10"/>
  <c r="AF30" i="10" s="1"/>
  <c r="O34" i="10" l="1"/>
  <c r="AG30" i="10" l="1"/>
  <c r="I16" i="10"/>
  <c r="I17" i="10" s="1"/>
  <c r="L18" i="10" s="1"/>
  <c r="I22" i="10" l="1"/>
  <c r="C22" i="10"/>
  <c r="F22" i="10" s="1"/>
  <c r="C25" i="10" s="1"/>
  <c r="C26" i="10"/>
  <c r="F32" i="10" l="1"/>
  <c r="H32" i="10" s="1"/>
  <c r="C28" i="10"/>
  <c r="F25" i="10"/>
  <c r="F24" i="10"/>
  <c r="F34" i="10"/>
  <c r="C33" i="10"/>
  <c r="Q41" i="10" s="1"/>
  <c r="Q43" i="10" s="1"/>
  <c r="F29" i="10" l="1"/>
  <c r="C29" i="10" s="1"/>
  <c r="F33" i="10"/>
  <c r="F30" i="10"/>
  <c r="C30" i="10" s="1"/>
  <c r="AF29" i="10"/>
  <c r="C32" i="10" l="1"/>
  <c r="C34" i="10" s="1"/>
  <c r="AG29"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mcla01c</author>
    <author>B39536</author>
  </authors>
  <commentList>
    <comment ref="X13" authorId="0" shapeId="0" xr:uid="{00000000-0006-0000-0300-000001000000}">
      <text>
        <r>
          <rPr>
            <sz val="9"/>
            <color indexed="81"/>
            <rFont val="Tahoma"/>
            <family val="2"/>
          </rPr>
          <t xml:space="preserve">If Vcore SMPS is used, Vcore Linear current shall be set to zero.
Will become red if the condition above is not met.
</t>
        </r>
      </text>
    </comment>
    <comment ref="AA13" authorId="1" shapeId="0" xr:uid="{00000000-0006-0000-0300-000002000000}">
      <text>
        <r>
          <rPr>
            <sz val="9"/>
            <color indexed="81"/>
            <rFont val="Tahoma"/>
            <family val="2"/>
          </rPr>
          <t>If PNP is used, internal PMOS current shall be set to zero.
Will become red if the condition above is not met.</t>
        </r>
      </text>
    </comment>
    <comment ref="AJ13" authorId="1" shapeId="0" xr:uid="{00000000-0006-0000-0300-000003000000}">
      <text>
        <r>
          <rPr>
            <sz val="9"/>
            <color indexed="81"/>
            <rFont val="Tahoma"/>
            <family val="2"/>
          </rPr>
          <t>Current shall be zero if CAN tranceiver is not in SLEEP mode.
Will become red if the condition above is not met.
Vcan can be used as auxilliary supply if CAN transceiver is set in SLEEP mode only.</t>
        </r>
      </text>
    </comment>
    <comment ref="AM13" authorId="1" shapeId="0" xr:uid="{00000000-0006-0000-0300-000004000000}">
      <text>
        <r>
          <rPr>
            <sz val="9"/>
            <color indexed="81"/>
            <rFont val="Tahoma"/>
            <family val="2"/>
          </rPr>
          <t>CAN frame duty cycle</t>
        </r>
      </text>
    </comment>
    <comment ref="AP13" authorId="1" shapeId="0" xr:uid="{00000000-0006-0000-0300-000005000000}">
      <text>
        <r>
          <rPr>
            <sz val="9"/>
            <color indexed="81"/>
            <rFont val="Tahoma"/>
            <family val="2"/>
          </rPr>
          <t>LIN frame duty cycle</t>
        </r>
      </text>
    </comment>
    <comment ref="AM14" authorId="1" shapeId="0" xr:uid="{00000000-0006-0000-0300-000006000000}">
      <text>
        <r>
          <rPr>
            <sz val="9"/>
            <color indexed="81"/>
            <rFont val="Tahoma"/>
            <family val="2"/>
          </rPr>
          <t>CAN bit duty cycle</t>
        </r>
      </text>
    </comment>
    <comment ref="AP14" authorId="1" shapeId="0" xr:uid="{00000000-0006-0000-0300-000007000000}">
      <text>
        <r>
          <rPr>
            <sz val="9"/>
            <color indexed="81"/>
            <rFont val="Tahoma"/>
            <family val="2"/>
          </rPr>
          <t>LIN bit duty cycle</t>
        </r>
      </text>
    </comment>
    <comment ref="AA16" authorId="0" shapeId="0" xr:uid="{00000000-0006-0000-0300-000008000000}">
      <text>
        <r>
          <rPr>
            <sz val="9"/>
            <color indexed="81"/>
            <rFont val="Tahoma"/>
            <family val="2"/>
          </rPr>
          <t>150 &lt; PNP Beta &lt; 450</t>
        </r>
      </text>
    </comment>
    <comment ref="AD16" authorId="0" shapeId="0" xr:uid="{00000000-0006-0000-0300-000009000000}">
      <text>
        <r>
          <rPr>
            <sz val="9"/>
            <color indexed="81"/>
            <rFont val="Tahoma"/>
            <family val="2"/>
          </rPr>
          <t>150 &lt; PNP Beta &lt; 450</t>
        </r>
      </text>
    </comment>
    <comment ref="U17" authorId="0" shapeId="0" xr:uid="{00000000-0006-0000-0300-00000A000000}">
      <text>
        <r>
          <rPr>
            <sz val="9"/>
            <color indexed="81"/>
            <rFont val="Tahoma"/>
            <family val="2"/>
          </rPr>
          <t>If Vcore Linear is used, Vcore SMPS current shall be set to zero.
Will become red if the condition above is not met.</t>
        </r>
      </text>
    </comment>
    <comment ref="AA17" authorId="0" shapeId="0" xr:uid="{00000000-0006-0000-0300-00000B000000}">
      <text>
        <r>
          <rPr>
            <sz val="9"/>
            <color indexed="81"/>
            <rFont val="Tahoma"/>
            <family val="2"/>
          </rPr>
          <t>If internal PMOS is used,  current shall be set to zero.
Will become red if the condition above is not met.</t>
        </r>
      </text>
    </comment>
  </commentList>
</comments>
</file>

<file path=xl/sharedStrings.xml><?xml version="1.0" encoding="utf-8"?>
<sst xmlns="http://schemas.openxmlformats.org/spreadsheetml/2006/main" count="258" uniqueCount="176">
  <si>
    <t>Cin</t>
  </si>
  <si>
    <t>Cout</t>
  </si>
  <si>
    <t>MOSFET</t>
  </si>
  <si>
    <t>Tsw_off</t>
  </si>
  <si>
    <t>Converter</t>
  </si>
  <si>
    <t>ton</t>
  </si>
  <si>
    <t>Ipeak</t>
  </si>
  <si>
    <t xml:space="preserve">Tsw_on </t>
  </si>
  <si>
    <t xml:space="preserve">Freq </t>
  </si>
  <si>
    <t>toff</t>
  </si>
  <si>
    <t>P_Cin</t>
  </si>
  <si>
    <t>P_Cout</t>
  </si>
  <si>
    <t>P_L</t>
  </si>
  <si>
    <t>Pout</t>
  </si>
  <si>
    <t>Pdis_tot</t>
  </si>
  <si>
    <t>Pdis_IC</t>
  </si>
  <si>
    <r>
      <t>D</t>
    </r>
    <r>
      <rPr>
        <b/>
        <sz val="8"/>
        <rFont val="Arial"/>
        <family val="2"/>
      </rPr>
      <t xml:space="preserve">IL </t>
    </r>
  </si>
  <si>
    <r>
      <t>h</t>
    </r>
    <r>
      <rPr>
        <b/>
        <sz val="10"/>
        <rFont val="Arial"/>
        <family val="2"/>
      </rPr>
      <t xml:space="preserve"> </t>
    </r>
    <r>
      <rPr>
        <b/>
        <sz val="8"/>
        <rFont val="Arial"/>
        <family val="2"/>
      </rPr>
      <t>Vpre</t>
    </r>
  </si>
  <si>
    <t>P_cond</t>
  </si>
  <si>
    <t>P_sw</t>
  </si>
  <si>
    <t>Vcca</t>
  </si>
  <si>
    <t>Vcan</t>
  </si>
  <si>
    <r>
      <t>h</t>
    </r>
    <r>
      <rPr>
        <b/>
        <sz val="8"/>
        <rFont val="Arial"/>
        <family val="2"/>
      </rPr>
      <t xml:space="preserve"> </t>
    </r>
  </si>
  <si>
    <t>Vpre</t>
  </si>
  <si>
    <t>Cg</t>
  </si>
  <si>
    <t>Vcore</t>
  </si>
  <si>
    <t>Vaux</t>
  </si>
  <si>
    <t>P_diode</t>
  </si>
  <si>
    <t>duty cycle</t>
  </si>
  <si>
    <t>I_Cout_rms</t>
  </si>
  <si>
    <t>Vdiode</t>
  </si>
  <si>
    <t>MOSFET switch</t>
  </si>
  <si>
    <t>Vdrop_MOS</t>
  </si>
  <si>
    <t>Vout_ripple</t>
  </si>
  <si>
    <t>duty_cycle</t>
  </si>
  <si>
    <t>Vpre = Buck operation only</t>
  </si>
  <si>
    <t>Ext. Devices</t>
  </si>
  <si>
    <t>I_L_rms</t>
  </si>
  <si>
    <t>Ron internal</t>
  </si>
  <si>
    <r>
      <t>h</t>
    </r>
    <r>
      <rPr>
        <b/>
        <sz val="8"/>
        <rFont val="Arial"/>
        <family val="2"/>
      </rPr>
      <t xml:space="preserve"> Vcore</t>
    </r>
  </si>
  <si>
    <t>Overdrive</t>
  </si>
  <si>
    <t>Icore</t>
  </si>
  <si>
    <t>Ipre</t>
  </si>
  <si>
    <t>Vsup</t>
  </si>
  <si>
    <t>Vpre ext. adder</t>
  </si>
  <si>
    <t>Ipre_adder</t>
  </si>
  <si>
    <t>Internal PMOS</t>
  </si>
  <si>
    <t>External PNP</t>
  </si>
  <si>
    <t>Internal IC</t>
  </si>
  <si>
    <t>Iout</t>
  </si>
  <si>
    <r>
      <rPr>
        <b/>
        <sz val="8"/>
        <rFont val="Arial"/>
        <family val="2"/>
      </rPr>
      <t xml:space="preserve">PNP </t>
    </r>
    <r>
      <rPr>
        <b/>
        <sz val="8"/>
        <rFont val="Symbol"/>
        <family val="1"/>
        <charset val="2"/>
      </rPr>
      <t xml:space="preserve">b </t>
    </r>
    <r>
      <rPr>
        <b/>
        <sz val="8"/>
        <rFont val="Arial"/>
        <family val="2"/>
      </rPr>
      <t>average</t>
    </r>
  </si>
  <si>
    <t>CAN transceiver</t>
  </si>
  <si>
    <t>CAN frame</t>
  </si>
  <si>
    <t>CAN bit</t>
  </si>
  <si>
    <t>CAN traffic</t>
  </si>
  <si>
    <t>Bus impedance</t>
  </si>
  <si>
    <t>CANL/H driver</t>
  </si>
  <si>
    <t>CAN cell current</t>
  </si>
  <si>
    <t>Bus current</t>
  </si>
  <si>
    <t>Internal IC bias current :</t>
  </si>
  <si>
    <t>IC power dissipation summary :</t>
  </si>
  <si>
    <t>Rdson</t>
  </si>
  <si>
    <t>ESR Cin</t>
  </si>
  <si>
    <t>ESR Cout</t>
  </si>
  <si>
    <t>L coil</t>
  </si>
  <si>
    <t>DCR coil</t>
  </si>
  <si>
    <t>Pdis</t>
  </si>
  <si>
    <t>-</t>
  </si>
  <si>
    <r>
      <t>h</t>
    </r>
    <r>
      <rPr>
        <b/>
        <sz val="9"/>
        <rFont val="Arial"/>
        <family val="2"/>
      </rPr>
      <t xml:space="preserve"> </t>
    </r>
  </si>
  <si>
    <t>Y</t>
  </si>
  <si>
    <t>N</t>
  </si>
  <si>
    <t>SLEEP mode?</t>
  </si>
  <si>
    <t>Max output current</t>
  </si>
  <si>
    <t>Internal Regulator</t>
  </si>
  <si>
    <t>SMPS equations valid in CCM only (Continuous Current Mode)</t>
  </si>
  <si>
    <t>Available</t>
  </si>
  <si>
    <t>Vcca (3.3V or 5V)</t>
  </si>
  <si>
    <t>Vaux (3.3V or 5V)</t>
  </si>
  <si>
    <t>Vcan (5V)</t>
  </si>
  <si>
    <t>Vpre SMPS (6.5V)</t>
  </si>
  <si>
    <t>FILL ORANGE CELLS BASED ON EXTERNAL DEVICES CHARACTERISTICS</t>
  </si>
  <si>
    <t xml:space="preserve">  INT. TOTAL PDIS =</t>
  </si>
  <si>
    <t>0/ Generic comments</t>
  </si>
  <si>
    <t>LIN transceiver</t>
  </si>
  <si>
    <t>LIN driver</t>
  </si>
  <si>
    <t>LIN frame</t>
  </si>
  <si>
    <t>LIN bit</t>
  </si>
  <si>
    <t>LIN traffic</t>
  </si>
  <si>
    <t>Bus pull up</t>
  </si>
  <si>
    <t>LIN cell current</t>
  </si>
  <si>
    <t>LIN diode</t>
  </si>
  <si>
    <t>Vcore 
Linear</t>
  </si>
  <si>
    <t>Vcore 
SMPS</t>
  </si>
  <si>
    <t>Vcore_Linear</t>
  </si>
  <si>
    <t>Internal NMOS</t>
  </si>
  <si>
    <t>Current from ext. devices connected 
to Vpre (option)</t>
  </si>
  <si>
    <t>Tj max</t>
  </si>
  <si>
    <t>Rth_ja (JEDEC)=22°/W</t>
  </si>
  <si>
    <t>Package max Pdis</t>
  </si>
  <si>
    <t>Configure LIN frame and LIN bit (if better accuracy is needed), otherwise 50% default value is used</t>
  </si>
  <si>
    <t>Configure SLEEP mode to "N"</t>
  </si>
  <si>
    <t>Configure CAN frame and CAN bit (if better accuracy is needed), otherwise 50% default value is used</t>
  </si>
  <si>
    <t>Configure SLEEP mode to "Y"</t>
  </si>
  <si>
    <t>Revision</t>
  </si>
  <si>
    <t>Date</t>
  </si>
  <si>
    <t>1.0</t>
  </si>
  <si>
    <t>Initial release</t>
  </si>
  <si>
    <t>Description of changes</t>
  </si>
  <si>
    <t xml:space="preserve">Related Data Sheet: </t>
  </si>
  <si>
    <t>Document Description:</t>
  </si>
  <si>
    <t>Related Part Numbers:</t>
  </si>
  <si>
    <t xml:space="preserve">Document ID: </t>
  </si>
  <si>
    <t xml:space="preserve">Revision: </t>
  </si>
  <si>
    <t xml:space="preserve">     1.0</t>
  </si>
  <si>
    <t xml:space="preserve">     See datasheet</t>
  </si>
  <si>
    <t>FILL YELLOW CELLS BASED ON FS6500 or FS4500 SETUP</t>
  </si>
  <si>
    <t>Vcore SMPS
(from 1V to 5V)</t>
  </si>
  <si>
    <t>Vcore Linear 
(from 1V to 5V)</t>
  </si>
  <si>
    <t>VKAM (3.3V)</t>
  </si>
  <si>
    <t>Vkam</t>
  </si>
  <si>
    <t xml:space="preserve">13/ The Excel tool will calculate </t>
  </si>
  <si>
    <t>MAX Ta =</t>
  </si>
  <si>
    <t>CAN FD transceiver</t>
  </si>
  <si>
    <t>Pout (Vcan)</t>
  </si>
  <si>
    <t xml:space="preserve">     FS6500-FS4500</t>
  </si>
  <si>
    <t xml:space="preserve">     FS6500-FS4500PDTCALC</t>
  </si>
  <si>
    <t xml:space="preserve">      The power dissipation tool calculates the power dissipation of the FS6500 and FS4500 series based on application use case.</t>
  </si>
  <si>
    <t>FS6500-FS4500 Power Dissipation Tool user guide</t>
  </si>
  <si>
    <t>Silicon junction temperature must not exceed 150 °C</t>
  </si>
  <si>
    <r>
      <t>2/ Fill in V</t>
    </r>
    <r>
      <rPr>
        <b/>
        <vertAlign val="subscript"/>
        <sz val="10"/>
        <color theme="1"/>
        <rFont val="Calibri"/>
        <family val="2"/>
        <scheme val="minor"/>
      </rPr>
      <t>CORE</t>
    </r>
    <r>
      <rPr>
        <b/>
        <sz val="10"/>
        <color theme="1"/>
        <rFont val="Calibri"/>
        <family val="2"/>
        <scheme val="minor"/>
      </rPr>
      <t xml:space="preserve"> voltage from 1.0 V to 5.0 V</t>
    </r>
  </si>
  <si>
    <t>0.5 A max for FS45xx</t>
  </si>
  <si>
    <t>0.8 A max for FS650x</t>
  </si>
  <si>
    <t>1.5 A max for FS651x</t>
  </si>
  <si>
    <t>2.2 A max for FS652x</t>
  </si>
  <si>
    <r>
      <t>In case of reverse battery protection, V</t>
    </r>
    <r>
      <rPr>
        <vertAlign val="subscript"/>
        <sz val="10"/>
        <color theme="1"/>
        <rFont val="Calibri"/>
        <family val="2"/>
        <scheme val="minor"/>
      </rPr>
      <t>SUP</t>
    </r>
    <r>
      <rPr>
        <sz val="10"/>
        <color theme="1"/>
        <rFont val="Calibri"/>
        <family val="2"/>
        <scheme val="minor"/>
      </rPr>
      <t xml:space="preserve"> = V</t>
    </r>
    <r>
      <rPr>
        <vertAlign val="subscript"/>
        <sz val="10"/>
        <color theme="1"/>
        <rFont val="Calibri"/>
        <family val="2"/>
        <scheme val="minor"/>
      </rPr>
      <t>BAT</t>
    </r>
    <r>
      <rPr>
        <sz val="10"/>
        <color theme="1"/>
        <rFont val="Calibri"/>
        <family val="2"/>
        <scheme val="minor"/>
      </rPr>
      <t xml:space="preserve"> - Reverse battery voltage drop</t>
    </r>
  </si>
  <si>
    <r>
      <t>V</t>
    </r>
    <r>
      <rPr>
        <vertAlign val="subscript"/>
        <sz val="10"/>
        <color theme="1"/>
        <rFont val="Calibri"/>
        <family val="2"/>
        <scheme val="minor"/>
      </rPr>
      <t xml:space="preserve">CORE </t>
    </r>
    <r>
      <rPr>
        <sz val="10"/>
        <color theme="1"/>
        <rFont val="Calibri"/>
        <family val="2"/>
        <scheme val="minor"/>
      </rPr>
      <t>= FB_Core x (R3 + R4) / R4</t>
    </r>
  </si>
  <si>
    <r>
      <t>4/ Fill in V</t>
    </r>
    <r>
      <rPr>
        <b/>
        <vertAlign val="subscript"/>
        <sz val="10"/>
        <color theme="1"/>
        <rFont val="Calibri"/>
        <family val="2"/>
        <scheme val="minor"/>
      </rPr>
      <t>CCA</t>
    </r>
    <r>
      <rPr>
        <b/>
        <sz val="10"/>
        <color theme="1"/>
        <rFont val="Calibri"/>
        <family val="2"/>
        <scheme val="minor"/>
      </rPr>
      <t xml:space="preserve"> voltage</t>
    </r>
  </si>
  <si>
    <r>
      <t>1/ Fill in V</t>
    </r>
    <r>
      <rPr>
        <b/>
        <vertAlign val="subscript"/>
        <sz val="10"/>
        <color theme="1"/>
        <rFont val="Calibri"/>
        <family val="2"/>
        <scheme val="minor"/>
      </rPr>
      <t>SUP</t>
    </r>
    <r>
      <rPr>
        <b/>
        <sz val="10"/>
        <color theme="1"/>
        <rFont val="Calibri"/>
        <family val="2"/>
        <scheme val="minor"/>
      </rPr>
      <t xml:space="preserve"> application voltage</t>
    </r>
  </si>
  <si>
    <t>Total power dissipation shall not exceed 2.0 W (recommended)</t>
  </si>
  <si>
    <r>
      <t>The calculations are valid for Buck only operation of V</t>
    </r>
    <r>
      <rPr>
        <vertAlign val="subscript"/>
        <sz val="10"/>
        <color theme="1"/>
        <rFont val="Calibri"/>
        <family val="2"/>
        <scheme val="minor"/>
      </rPr>
      <t>PRE</t>
    </r>
    <r>
      <rPr>
        <sz val="10"/>
        <color theme="1"/>
        <rFont val="Calibri"/>
        <family val="2"/>
        <scheme val="minor"/>
      </rPr>
      <t xml:space="preserve"> (V</t>
    </r>
    <r>
      <rPr>
        <vertAlign val="subscript"/>
        <sz val="10"/>
        <color theme="1"/>
        <rFont val="Calibri"/>
        <family val="2"/>
        <scheme val="minor"/>
      </rPr>
      <t xml:space="preserve">SUP </t>
    </r>
    <r>
      <rPr>
        <sz val="10"/>
        <color theme="1"/>
        <rFont val="Calibri"/>
        <family val="2"/>
        <scheme val="minor"/>
      </rPr>
      <t>&gt;  8.0 V)</t>
    </r>
  </si>
  <si>
    <r>
      <t>3/ Fill in V</t>
    </r>
    <r>
      <rPr>
        <b/>
        <vertAlign val="subscript"/>
        <sz val="10"/>
        <color theme="1"/>
        <rFont val="Calibri"/>
        <family val="2"/>
        <scheme val="minor"/>
      </rPr>
      <t>CORE</t>
    </r>
    <r>
      <rPr>
        <b/>
        <sz val="10"/>
        <color theme="1"/>
        <rFont val="Calibri"/>
        <family val="2"/>
        <scheme val="minor"/>
      </rPr>
      <t xml:space="preserve"> current consumption</t>
    </r>
  </si>
  <si>
    <t>The power dissipation from each regulator and the total power dissipation in the IC</t>
  </si>
  <si>
    <t>The efficiency of each regulator</t>
  </si>
  <si>
    <t>The maximum ambient temperature for a specific setup based on customer Rth_ja</t>
  </si>
  <si>
    <t xml:space="preserve">JEDEC thermal resistance used to calculate the maximum ambient temperature is based on JEDEC JESD51-6 with the board (JESD51-7) horizontal </t>
  </si>
  <si>
    <t>FB_Core = 0.8 V typ. (refer to datasheet for full spec details)</t>
  </si>
  <si>
    <t>If internal CAN transceiver is used:</t>
  </si>
  <si>
    <t>3.0 mA max</t>
  </si>
  <si>
    <r>
      <t>10/ Fill in V</t>
    </r>
    <r>
      <rPr>
        <b/>
        <vertAlign val="subscript"/>
        <sz val="10"/>
        <color theme="1"/>
        <rFont val="Calibri"/>
        <family val="2"/>
        <scheme val="minor"/>
      </rPr>
      <t>KAM</t>
    </r>
    <r>
      <rPr>
        <b/>
        <sz val="10"/>
        <color theme="1"/>
        <rFont val="Calibri"/>
        <family val="2"/>
        <scheme val="minor"/>
      </rPr>
      <t xml:space="preserve"> current</t>
    </r>
  </si>
  <si>
    <t>If internal LIN transceiver is used:</t>
  </si>
  <si>
    <t>If internal CAN transceiver is NOT used:</t>
  </si>
  <si>
    <t>If internal LIN transceiver is NOT used:</t>
  </si>
  <si>
    <t>Internal PMOS configuration, 100 mA max. If this configuration is used, the External PNP current must be 0</t>
  </si>
  <si>
    <t>External PNP configuration, 300 mA max. If this configuration is used, the Internal PMOS current must be 0</t>
  </si>
  <si>
    <t>External PNP configuration (only), 400 mA max.</t>
  </si>
  <si>
    <r>
      <t>7/ Fill in V</t>
    </r>
    <r>
      <rPr>
        <b/>
        <vertAlign val="subscript"/>
        <sz val="10"/>
        <color theme="1"/>
        <rFont val="Calibri"/>
        <family val="2"/>
        <scheme val="minor"/>
      </rPr>
      <t>AUX</t>
    </r>
    <r>
      <rPr>
        <b/>
        <sz val="10"/>
        <color theme="1"/>
        <rFont val="Calibri"/>
        <family val="2"/>
        <scheme val="minor"/>
      </rPr>
      <t xml:space="preserve"> current</t>
    </r>
  </si>
  <si>
    <r>
      <t>5/ Fill in V</t>
    </r>
    <r>
      <rPr>
        <b/>
        <vertAlign val="subscript"/>
        <sz val="10"/>
        <color theme="1"/>
        <rFont val="Calibri"/>
        <family val="2"/>
        <scheme val="minor"/>
      </rPr>
      <t>CCA</t>
    </r>
    <r>
      <rPr>
        <b/>
        <sz val="10"/>
        <color theme="1"/>
        <rFont val="Calibri"/>
        <family val="2"/>
        <scheme val="minor"/>
      </rPr>
      <t xml:space="preserve"> current</t>
    </r>
  </si>
  <si>
    <r>
      <t>8/ Fill in V</t>
    </r>
    <r>
      <rPr>
        <b/>
        <vertAlign val="subscript"/>
        <sz val="10"/>
        <color theme="1"/>
        <rFont val="Calibri"/>
        <family val="2"/>
        <scheme val="minor"/>
      </rPr>
      <t>CAN</t>
    </r>
    <r>
      <rPr>
        <b/>
        <sz val="10"/>
        <color theme="1"/>
        <rFont val="Calibri"/>
        <family val="2"/>
        <scheme val="minor"/>
      </rPr>
      <t xml:space="preserve"> current</t>
    </r>
  </si>
  <si>
    <t>2.0 A max.</t>
  </si>
  <si>
    <r>
      <t>3.3 V or 5.0 V depending on R</t>
    </r>
    <r>
      <rPr>
        <vertAlign val="subscript"/>
        <sz val="10"/>
        <color theme="1"/>
        <rFont val="Calibri"/>
        <family val="2"/>
        <scheme val="minor"/>
      </rPr>
      <t>SELECT</t>
    </r>
    <r>
      <rPr>
        <sz val="10"/>
        <color theme="1"/>
        <rFont val="Calibri"/>
        <family val="2"/>
        <scheme val="minor"/>
      </rPr>
      <t xml:space="preserve"> resistor value</t>
    </r>
  </si>
  <si>
    <r>
      <t>V</t>
    </r>
    <r>
      <rPr>
        <vertAlign val="subscript"/>
        <sz val="10"/>
        <color theme="1"/>
        <rFont val="Calibri"/>
        <family val="2"/>
        <scheme val="minor"/>
      </rPr>
      <t>CAN</t>
    </r>
    <r>
      <rPr>
        <sz val="10"/>
        <color theme="1"/>
        <rFont val="Calibri"/>
        <family val="2"/>
        <scheme val="minor"/>
      </rPr>
      <t xml:space="preserve"> current consumption is automatically calculated</t>
    </r>
  </si>
  <si>
    <r>
      <t>V</t>
    </r>
    <r>
      <rPr>
        <vertAlign val="subscript"/>
        <sz val="10"/>
        <color theme="1"/>
        <rFont val="Calibri"/>
        <family val="2"/>
        <scheme val="minor"/>
      </rPr>
      <t xml:space="preserve">CAN_IOUT </t>
    </r>
    <r>
      <rPr>
        <sz val="10"/>
        <color theme="1"/>
        <rFont val="Calibri"/>
        <family val="2"/>
        <scheme val="minor"/>
      </rPr>
      <t>must be 0</t>
    </r>
  </si>
  <si>
    <r>
      <t>Fill in V</t>
    </r>
    <r>
      <rPr>
        <vertAlign val="subscript"/>
        <sz val="10"/>
        <color theme="1"/>
        <rFont val="Calibri"/>
        <family val="2"/>
        <scheme val="minor"/>
      </rPr>
      <t>CAN_IOUT</t>
    </r>
  </si>
  <si>
    <r>
      <t>6/ Fill in V</t>
    </r>
    <r>
      <rPr>
        <b/>
        <vertAlign val="subscript"/>
        <sz val="10"/>
        <color theme="1"/>
        <rFont val="Calibri"/>
        <family val="2"/>
        <scheme val="minor"/>
      </rPr>
      <t>AUX</t>
    </r>
    <r>
      <rPr>
        <b/>
        <sz val="10"/>
        <color theme="1"/>
        <rFont val="Calibri"/>
        <family val="2"/>
        <scheme val="minor"/>
      </rPr>
      <t xml:space="preserve"> voltage (if V</t>
    </r>
    <r>
      <rPr>
        <b/>
        <vertAlign val="subscript"/>
        <sz val="10"/>
        <color theme="1"/>
        <rFont val="Calibri"/>
        <family val="2"/>
        <scheme val="minor"/>
      </rPr>
      <t>AUX</t>
    </r>
    <r>
      <rPr>
        <b/>
        <sz val="10"/>
        <color theme="1"/>
        <rFont val="Calibri"/>
        <family val="2"/>
        <scheme val="minor"/>
      </rPr>
      <t xml:space="preserve"> is used, Select pin connected to GND)</t>
    </r>
  </si>
  <si>
    <t>LIN current consumption is automatically calculated</t>
  </si>
  <si>
    <t>Update the thermal resistance of the Junction/Ambient junction of PCB (Rth_ja)</t>
  </si>
  <si>
    <r>
      <t>11/ Fill in V</t>
    </r>
    <r>
      <rPr>
        <b/>
        <vertAlign val="subscript"/>
        <sz val="10"/>
        <color theme="1"/>
        <rFont val="Calibri"/>
        <family val="2"/>
        <scheme val="minor"/>
      </rPr>
      <t>PRE</t>
    </r>
    <r>
      <rPr>
        <b/>
        <sz val="10"/>
        <color theme="1"/>
        <rFont val="Calibri"/>
        <family val="2"/>
        <scheme val="minor"/>
      </rPr>
      <t xml:space="preserve"> ext. Adder current</t>
    </r>
    <r>
      <rPr>
        <sz val="10"/>
        <color rgb="FFFF0000"/>
        <rFont val="Calibri"/>
        <family val="2"/>
        <scheme val="minor"/>
      </rPr>
      <t xml:space="preserve"> (only if V</t>
    </r>
    <r>
      <rPr>
        <vertAlign val="subscript"/>
        <sz val="10"/>
        <color rgb="FFFF0000"/>
        <rFont val="Calibri"/>
        <family val="2"/>
        <scheme val="minor"/>
      </rPr>
      <t>PRE</t>
    </r>
    <r>
      <rPr>
        <sz val="10"/>
        <color rgb="FFFF0000"/>
        <rFont val="Calibri"/>
        <family val="2"/>
        <scheme val="minor"/>
      </rPr>
      <t xml:space="preserve"> is used to supply an external device like an additional LDO)</t>
    </r>
  </si>
  <si>
    <t>It will give a good idea if the thermal aspect of the application is critical</t>
  </si>
  <si>
    <r>
      <t>Both V</t>
    </r>
    <r>
      <rPr>
        <vertAlign val="subscript"/>
        <sz val="10"/>
        <color theme="1"/>
        <rFont val="Calibri"/>
        <family val="2"/>
        <scheme val="minor"/>
      </rPr>
      <t>PRE</t>
    </r>
    <r>
      <rPr>
        <sz val="10"/>
        <color theme="1"/>
        <rFont val="Calibri"/>
        <family val="2"/>
        <scheme val="minor"/>
      </rPr>
      <t xml:space="preserve"> and V</t>
    </r>
    <r>
      <rPr>
        <vertAlign val="subscript"/>
        <sz val="10"/>
        <color theme="1"/>
        <rFont val="Calibri"/>
        <family val="2"/>
        <scheme val="minor"/>
      </rPr>
      <t>CORE</t>
    </r>
    <r>
      <rPr>
        <sz val="10"/>
        <color theme="1"/>
        <rFont val="Calibri"/>
        <family val="2"/>
        <scheme val="minor"/>
      </rPr>
      <t xml:space="preserve"> SMPS regulators must run in CCM mode (continuous current mode) to avoid instability and EMC issues</t>
    </r>
  </si>
  <si>
    <t>If this information is not known, the JEDEC one can be kept or an estimated one can be filled in</t>
  </si>
  <si>
    <t>R4 = 8.06 kOhms</t>
  </si>
  <si>
    <t>We recommend to use external components with similar characteristics than the one proposed in AN5238</t>
  </si>
  <si>
    <t>For any additional information, please visit NXP website at http://www.nxp.com</t>
  </si>
  <si>
    <r>
      <t xml:space="preserve">12/ Update the orange cells from external components characteristics </t>
    </r>
    <r>
      <rPr>
        <sz val="10"/>
        <rFont val="Calibri"/>
        <family val="2"/>
        <scheme val="minor"/>
      </rPr>
      <t>(if they are different from the recommended components from AN5238)</t>
    </r>
  </si>
  <si>
    <t>9/ Fill in LIN transceiver</t>
  </si>
  <si>
    <r>
      <t>R3 is selected to adjust V</t>
    </r>
    <r>
      <rPr>
        <vertAlign val="subscript"/>
        <sz val="10"/>
        <color theme="1"/>
        <rFont val="Calibri"/>
        <family val="2"/>
        <scheme val="minor"/>
      </rPr>
      <t>CORE</t>
    </r>
    <r>
      <rPr>
        <sz val="10"/>
        <color theme="1"/>
        <rFont val="Calibri"/>
        <family val="2"/>
        <scheme val="minor"/>
      </rPr>
      <t xml:space="preserve"> voltage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</si>
</sst>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64" formatCode="0.00\ \A"/>
    <numFmt numFmtId="165" formatCode="0.00\ &quot;mV&quot;"/>
    <numFmt numFmtId="166" formatCode="0\ &quot;µF&quot;"/>
    <numFmt numFmtId="167" formatCode="0.00\ &quot;V&quot;"/>
    <numFmt numFmtId="168" formatCode="0\ &quot;kHz&quot;"/>
    <numFmt numFmtId="169" formatCode="0.000\ &quot;µs&quot;"/>
    <numFmt numFmtId="170" formatCode="0.000\ &quot;W&quot;"/>
    <numFmt numFmtId="171" formatCode="0.00\ &quot;ns&quot;"/>
    <numFmt numFmtId="172" formatCode="0.000"/>
    <numFmt numFmtId="173" formatCode="0.0\ &quot;W&quot;"/>
    <numFmt numFmtId="174" formatCode="0.0\ &quot;µH&quot;"/>
    <numFmt numFmtId="175" formatCode="0\ \p\F"/>
    <numFmt numFmtId="176" formatCode="0\ &quot;mV&quot;"/>
    <numFmt numFmtId="177" formatCode="0.00\ &quot;W&quot;"/>
    <numFmt numFmtId="178" formatCode="0.00\ &quot;Ω&quot;"/>
    <numFmt numFmtId="179" formatCode="0.000\ &quot;A&quot;"/>
    <numFmt numFmtId="180" formatCode="0.0%"/>
    <numFmt numFmtId="181" formatCode="0.0\ &quot;V&quot;"/>
    <numFmt numFmtId="182" formatCode="0.0\ &quot;mA&quot;"/>
    <numFmt numFmtId="183" formatCode="0.0\ &quot;Ω&quot;"/>
    <numFmt numFmtId="184" formatCode="0.0\ &quot;mΩ&quot;"/>
    <numFmt numFmtId="185" formatCode="0.00\ &quot;A&quot;"/>
    <numFmt numFmtId="186" formatCode="0.000\ \A"/>
    <numFmt numFmtId="187" formatCode="0.00\ \°\C"/>
    <numFmt numFmtId="188" formatCode="0\ \°\C"/>
    <numFmt numFmtId="189" formatCode="0\ &quot;°C/W&quot;"/>
    <numFmt numFmtId="190" formatCode="0.00\ &quot;mW&quot;"/>
  </numFmts>
  <fonts count="33" x14ac:knownFonts="1">
    <font>
      <sz val="10"/>
      <name val="Arial"/>
    </font>
    <font>
      <sz val="11"/>
      <color theme="1"/>
      <name val="Calibri"/>
      <family val="2"/>
      <scheme val="minor"/>
    </font>
    <font>
      <sz val="10"/>
      <name val="Arial"/>
      <family val="2"/>
    </font>
    <font>
      <b/>
      <sz val="10"/>
      <name val="Arial"/>
      <family val="2"/>
    </font>
    <font>
      <sz val="8"/>
      <name val="Arial"/>
      <family val="2"/>
    </font>
    <font>
      <b/>
      <sz val="10"/>
      <name val="Symbol"/>
      <family val="1"/>
      <charset val="2"/>
    </font>
    <font>
      <b/>
      <sz val="8"/>
      <name val="Arial"/>
      <family val="2"/>
    </font>
    <font>
      <b/>
      <sz val="8"/>
      <name val="Symbol"/>
      <family val="1"/>
      <charset val="2"/>
    </font>
    <font>
      <b/>
      <sz val="9"/>
      <name val="Arial"/>
      <family val="2"/>
    </font>
    <font>
      <b/>
      <sz val="12"/>
      <color rgb="FFFF0000"/>
      <name val="Arial"/>
      <family val="2"/>
    </font>
    <font>
      <sz val="11"/>
      <name val="Arial"/>
      <family val="2"/>
    </font>
    <font>
      <b/>
      <sz val="11"/>
      <name val="Arial"/>
      <family val="2"/>
    </font>
    <font>
      <sz val="9"/>
      <color indexed="81"/>
      <name val="Tahoma"/>
      <family val="2"/>
    </font>
    <font>
      <b/>
      <sz val="9"/>
      <name val="Symbol"/>
      <family val="1"/>
      <charset val="2"/>
    </font>
    <font>
      <sz val="9"/>
      <name val="Arial"/>
      <family val="2"/>
    </font>
    <font>
      <sz val="8"/>
      <color rgb="FF00B050"/>
      <name val="Arial"/>
      <family val="2"/>
    </font>
    <font>
      <sz val="10"/>
      <color theme="1"/>
      <name val="Calibri"/>
      <family val="2"/>
      <scheme val="minor"/>
    </font>
    <font>
      <b/>
      <sz val="10"/>
      <color theme="1"/>
      <name val="Calibri"/>
      <family val="2"/>
      <scheme val="minor"/>
    </font>
    <font>
      <sz val="10"/>
      <color rgb="FFFF0000"/>
      <name val="Calibri"/>
      <family val="2"/>
      <scheme val="minor"/>
    </font>
    <font>
      <b/>
      <sz val="10"/>
      <color rgb="FF006600"/>
      <name val="Calibri"/>
      <family val="2"/>
      <scheme val="minor"/>
    </font>
    <font>
      <b/>
      <sz val="10"/>
      <color rgb="FF0000FF"/>
      <name val="Calibri"/>
      <family val="2"/>
      <scheme val="minor"/>
    </font>
    <font>
      <sz val="12"/>
      <color theme="1"/>
      <name val="Calibri"/>
      <family val="2"/>
      <scheme val="minor"/>
    </font>
    <font>
      <b/>
      <sz val="12"/>
      <color theme="1"/>
      <name val="Calibri"/>
      <family val="2"/>
      <scheme val="minor"/>
    </font>
    <font>
      <b/>
      <sz val="12"/>
      <name val="Arial"/>
      <family val="2"/>
    </font>
    <font>
      <sz val="8"/>
      <color theme="0"/>
      <name val="Arial"/>
      <family val="2"/>
    </font>
    <font>
      <b/>
      <u/>
      <sz val="11"/>
      <name val="Arial"/>
      <family val="2"/>
    </font>
    <font>
      <sz val="11"/>
      <color rgb="FFFF0000"/>
      <name val="Calibri"/>
      <family val="2"/>
      <scheme val="minor"/>
    </font>
    <font>
      <vertAlign val="subscript"/>
      <sz val="10"/>
      <color theme="1"/>
      <name val="Calibri"/>
      <family val="2"/>
      <scheme val="minor"/>
    </font>
    <font>
      <b/>
      <vertAlign val="subscript"/>
      <sz val="10"/>
      <color theme="1"/>
      <name val="Calibri"/>
      <family val="2"/>
      <scheme val="minor"/>
    </font>
    <font>
      <vertAlign val="subscript"/>
      <sz val="10"/>
      <color rgb="FFFF0000"/>
      <name val="Calibri"/>
      <family val="2"/>
      <scheme val="minor"/>
    </font>
    <font>
      <sz val="10"/>
      <name val="Calibri"/>
      <family val="2"/>
      <scheme val="minor"/>
    </font>
    <font>
      <b/>
      <sz val="10"/>
      <name val="Calibri"/>
      <family val="2"/>
      <scheme val="minor"/>
    </font>
    <font>
      <sz val="9"/>
      <name val="宋体"/>
      <family val="3"/>
      <charset val="134"/>
    </font>
  </fonts>
  <fills count="19">
    <fill>
      <patternFill patternType="none"/>
    </fill>
    <fill>
      <patternFill patternType="gray125"/>
    </fill>
    <fill>
      <patternFill patternType="solid">
        <fgColor indexed="55"/>
        <bgColor indexed="64"/>
      </patternFill>
    </fill>
    <fill>
      <patternFill patternType="solid">
        <fgColor theme="0" tint="-0.499984740745262"/>
        <bgColor indexed="64"/>
      </patternFill>
    </fill>
    <fill>
      <patternFill patternType="solid">
        <fgColor rgb="FFFFFF00"/>
        <bgColor indexed="64"/>
      </patternFill>
    </fill>
    <fill>
      <patternFill patternType="solid">
        <fgColor rgb="FF56EE3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69696"/>
        <bgColor indexed="64"/>
      </patternFill>
    </fill>
    <fill>
      <patternFill patternType="solid">
        <fgColor rgb="FF00B0F0"/>
        <bgColor indexed="64"/>
      </patternFill>
    </fill>
    <fill>
      <patternFill patternType="solid">
        <fgColor theme="6" tint="0.59999389629810485"/>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2" fillId="0" borderId="0" applyFont="0" applyFill="0" applyBorder="0" applyAlignment="0" applyProtection="0"/>
    <xf numFmtId="0" fontId="2" fillId="0" borderId="0"/>
    <xf numFmtId="0" fontId="1" fillId="0" borderId="0"/>
  </cellStyleXfs>
  <cellXfs count="180">
    <xf numFmtId="0" fontId="0" fillId="0" borderId="0" xfId="0"/>
    <xf numFmtId="180" fontId="4" fillId="0" borderId="0" xfId="1" applyNumberFormat="1" applyFont="1" applyAlignment="1">
      <alignment horizontal="center" vertical="center"/>
    </xf>
    <xf numFmtId="0" fontId="4" fillId="0" borderId="0" xfId="2" applyFont="1" applyAlignment="1">
      <alignment vertical="center"/>
    </xf>
    <xf numFmtId="0" fontId="9" fillId="0" borderId="0" xfId="2" applyFont="1" applyAlignment="1">
      <alignment horizontal="left" vertical="center"/>
    </xf>
    <xf numFmtId="0" fontId="3" fillId="0" borderId="0" xfId="2" applyFont="1" applyAlignment="1">
      <alignment vertical="center"/>
    </xf>
    <xf numFmtId="0" fontId="3" fillId="0" borderId="0" xfId="2" applyFont="1" applyFill="1" applyAlignment="1">
      <alignment vertical="center"/>
    </xf>
    <xf numFmtId="0" fontId="4" fillId="0" borderId="0" xfId="2" applyFont="1" applyFill="1" applyAlignment="1">
      <alignment vertical="center"/>
    </xf>
    <xf numFmtId="0" fontId="4" fillId="2" borderId="0" xfId="2" applyFont="1" applyFill="1" applyAlignment="1">
      <alignment vertical="center"/>
    </xf>
    <xf numFmtId="0" fontId="6" fillId="0" borderId="0" xfId="2" applyFont="1" applyAlignment="1">
      <alignment horizontal="left" vertical="center"/>
    </xf>
    <xf numFmtId="0" fontId="4" fillId="0" borderId="0" xfId="2" applyFont="1" applyAlignment="1">
      <alignment horizontal="left" vertical="center"/>
    </xf>
    <xf numFmtId="167" fontId="4" fillId="0" borderId="0" xfId="2" applyNumberFormat="1" applyFont="1" applyAlignment="1">
      <alignment horizontal="center" vertical="center"/>
    </xf>
    <xf numFmtId="0" fontId="6" fillId="0" borderId="0" xfId="2" applyFont="1" applyAlignment="1">
      <alignment vertical="center"/>
    </xf>
    <xf numFmtId="164" fontId="4" fillId="0" borderId="0" xfId="2" applyNumberFormat="1" applyFont="1" applyAlignment="1">
      <alignment horizontal="center" vertical="center"/>
    </xf>
    <xf numFmtId="0" fontId="4" fillId="0" borderId="0" xfId="2" applyFont="1" applyAlignment="1">
      <alignment horizontal="center" vertical="center"/>
    </xf>
    <xf numFmtId="0" fontId="7" fillId="0" borderId="0" xfId="2" applyFont="1" applyAlignment="1">
      <alignment horizontal="left" vertical="center"/>
    </xf>
    <xf numFmtId="168" fontId="4" fillId="0" borderId="0" xfId="2" applyNumberFormat="1" applyFont="1" applyAlignment="1">
      <alignment horizontal="center" vertical="center"/>
    </xf>
    <xf numFmtId="0" fontId="6" fillId="0" borderId="0" xfId="2" applyFont="1" applyAlignment="1">
      <alignment horizontal="right" vertical="center"/>
    </xf>
    <xf numFmtId="176" fontId="4" fillId="0" borderId="0" xfId="2" applyNumberFormat="1" applyFont="1" applyAlignment="1">
      <alignment horizontal="center" vertical="center"/>
    </xf>
    <xf numFmtId="173" fontId="6" fillId="0" borderId="0" xfId="2" applyNumberFormat="1" applyFont="1" applyAlignment="1">
      <alignment horizontal="right" vertical="center"/>
    </xf>
    <xf numFmtId="177" fontId="4" fillId="0" borderId="0" xfId="2" applyNumberFormat="1" applyFont="1" applyAlignment="1">
      <alignment horizontal="center" vertical="center"/>
    </xf>
    <xf numFmtId="0" fontId="4" fillId="0" borderId="0" xfId="2" applyFont="1" applyAlignment="1">
      <alignment horizontal="right" vertical="center"/>
    </xf>
    <xf numFmtId="0" fontId="4" fillId="0" borderId="0" xfId="2" applyNumberFormat="1" applyFont="1" applyAlignment="1">
      <alignment vertical="center"/>
    </xf>
    <xf numFmtId="170" fontId="4" fillId="0" borderId="0" xfId="2" applyNumberFormat="1" applyFont="1" applyAlignment="1">
      <alignment horizontal="center" vertical="center"/>
    </xf>
    <xf numFmtId="169" fontId="4" fillId="0" borderId="0" xfId="2" applyNumberFormat="1" applyFont="1" applyAlignment="1">
      <alignment horizontal="center" vertical="center"/>
    </xf>
    <xf numFmtId="0" fontId="5" fillId="0" borderId="0" xfId="2" applyFont="1" applyAlignment="1">
      <alignment horizontal="left" vertical="center"/>
    </xf>
    <xf numFmtId="0" fontId="5" fillId="0" borderId="0" xfId="2" applyFont="1" applyAlignment="1">
      <alignment vertical="center"/>
    </xf>
    <xf numFmtId="172" fontId="4" fillId="0" borderId="0" xfId="2" applyNumberFormat="1" applyFont="1" applyAlignment="1">
      <alignment vertical="center"/>
    </xf>
    <xf numFmtId="179" fontId="4" fillId="0" borderId="0" xfId="2" applyNumberFormat="1" applyFont="1" applyAlignment="1">
      <alignment horizontal="center" vertical="center"/>
    </xf>
    <xf numFmtId="0" fontId="7" fillId="0" borderId="0" xfId="2" applyFont="1" applyAlignment="1">
      <alignment horizontal="right" vertical="center"/>
    </xf>
    <xf numFmtId="0" fontId="5" fillId="0" borderId="0" xfId="2" applyFont="1" applyAlignment="1">
      <alignment horizontal="right" vertical="center"/>
    </xf>
    <xf numFmtId="165" fontId="4" fillId="0" borderId="0" xfId="2" applyNumberFormat="1" applyFont="1" applyAlignment="1">
      <alignment horizontal="center" vertical="center"/>
    </xf>
    <xf numFmtId="2" fontId="4" fillId="0" borderId="0" xfId="2" applyNumberFormat="1" applyFont="1" applyAlignment="1">
      <alignment vertical="center"/>
    </xf>
    <xf numFmtId="9" fontId="4" fillId="0" borderId="0" xfId="1" applyFont="1" applyAlignment="1">
      <alignment horizontal="center" vertical="center"/>
    </xf>
    <xf numFmtId="182" fontId="4" fillId="0" borderId="0" xfId="2" applyNumberFormat="1" applyFont="1" applyFill="1" applyBorder="1" applyAlignment="1">
      <alignment horizontal="center" vertical="center"/>
    </xf>
    <xf numFmtId="183" fontId="4" fillId="0" borderId="0" xfId="2" applyNumberFormat="1" applyFont="1" applyFill="1" applyAlignment="1">
      <alignment horizontal="center" vertical="center"/>
    </xf>
    <xf numFmtId="0" fontId="10" fillId="3" borderId="0" xfId="2" applyFont="1" applyFill="1" applyAlignment="1">
      <alignment vertical="center"/>
    </xf>
    <xf numFmtId="0" fontId="10" fillId="2" borderId="0" xfId="2" applyFont="1" applyFill="1" applyAlignment="1">
      <alignment vertical="center"/>
    </xf>
    <xf numFmtId="0" fontId="11" fillId="2" borderId="0" xfId="2" applyFont="1" applyFill="1" applyAlignment="1">
      <alignment vertical="center"/>
    </xf>
    <xf numFmtId="0" fontId="10" fillId="0" borderId="0" xfId="2" applyFont="1" applyAlignment="1">
      <alignment vertical="center"/>
    </xf>
    <xf numFmtId="0" fontId="4" fillId="12" borderId="0" xfId="2" applyFont="1" applyFill="1" applyAlignment="1">
      <alignment vertical="center"/>
    </xf>
    <xf numFmtId="0" fontId="6" fillId="12" borderId="0" xfId="2" applyFont="1" applyFill="1" applyAlignment="1">
      <alignment horizontal="right" vertical="center"/>
    </xf>
    <xf numFmtId="170" fontId="4" fillId="12" borderId="0" xfId="2" applyNumberFormat="1" applyFont="1" applyFill="1" applyAlignment="1">
      <alignment horizontal="center" vertical="center"/>
    </xf>
    <xf numFmtId="0" fontId="6" fillId="12" borderId="0" xfId="2" applyFont="1" applyFill="1" applyAlignment="1">
      <alignment horizontal="center" vertical="center"/>
    </xf>
    <xf numFmtId="0" fontId="6" fillId="12" borderId="0" xfId="2" applyFont="1" applyFill="1" applyBorder="1" applyAlignment="1">
      <alignment horizontal="right" vertical="center"/>
    </xf>
    <xf numFmtId="170" fontId="4" fillId="12" borderId="0" xfId="2" applyNumberFormat="1" applyFont="1" applyFill="1" applyBorder="1" applyAlignment="1">
      <alignment horizontal="center" vertical="center"/>
    </xf>
    <xf numFmtId="182" fontId="4" fillId="12" borderId="0" xfId="2" applyNumberFormat="1" applyFont="1" applyFill="1" applyBorder="1" applyAlignment="1">
      <alignment horizontal="left" vertical="center"/>
    </xf>
    <xf numFmtId="184" fontId="4" fillId="0" borderId="0" xfId="2" applyNumberFormat="1" applyFont="1" applyAlignment="1">
      <alignment horizontal="center" vertical="center"/>
    </xf>
    <xf numFmtId="0" fontId="8" fillId="12" borderId="0" xfId="2" applyFont="1" applyFill="1" applyAlignment="1">
      <alignment horizontal="center" vertical="center"/>
    </xf>
    <xf numFmtId="180" fontId="4" fillId="12" borderId="0" xfId="1" applyNumberFormat="1" applyFont="1" applyFill="1" applyAlignment="1">
      <alignment horizontal="center" vertical="center"/>
    </xf>
    <xf numFmtId="180" fontId="4" fillId="12" borderId="0" xfId="2" applyNumberFormat="1" applyFont="1" applyFill="1" applyAlignment="1">
      <alignment horizontal="center" vertical="center"/>
    </xf>
    <xf numFmtId="180" fontId="4" fillId="0" borderId="0" xfId="2" applyNumberFormat="1" applyFont="1" applyAlignment="1">
      <alignment horizontal="center" vertical="center"/>
    </xf>
    <xf numFmtId="0" fontId="4" fillId="12" borderId="0" xfId="2" applyFont="1" applyFill="1" applyAlignment="1">
      <alignment horizontal="center" vertical="center"/>
    </xf>
    <xf numFmtId="0" fontId="13" fillId="12" borderId="0" xfId="2" applyFont="1" applyFill="1" applyAlignment="1">
      <alignment horizontal="center" vertical="center"/>
    </xf>
    <xf numFmtId="182" fontId="4" fillId="0" borderId="0" xfId="2" applyNumberFormat="1" applyFont="1" applyAlignment="1">
      <alignment horizontal="center" vertical="center"/>
    </xf>
    <xf numFmtId="186" fontId="4" fillId="0" borderId="0" xfId="2" applyNumberFormat="1" applyFont="1" applyAlignment="1">
      <alignment horizontal="center" vertical="center"/>
    </xf>
    <xf numFmtId="0" fontId="8" fillId="0" borderId="0" xfId="2" applyFont="1" applyAlignment="1">
      <alignment horizontal="center" vertical="center"/>
    </xf>
    <xf numFmtId="0" fontId="8" fillId="10" borderId="2" xfId="2" applyFont="1" applyFill="1" applyBorder="1" applyAlignment="1">
      <alignment horizontal="center" vertical="center"/>
    </xf>
    <xf numFmtId="0" fontId="8" fillId="0" borderId="0" xfId="2" applyFont="1" applyAlignment="1">
      <alignment horizontal="right" vertical="center"/>
    </xf>
    <xf numFmtId="185" fontId="14" fillId="7" borderId="2" xfId="2" applyNumberFormat="1" applyFont="1" applyFill="1" applyBorder="1" applyAlignment="1">
      <alignment horizontal="center" vertical="center"/>
    </xf>
    <xf numFmtId="0" fontId="14" fillId="0" borderId="0" xfId="2" applyFont="1" applyAlignment="1">
      <alignment horizontal="center" vertical="center"/>
    </xf>
    <xf numFmtId="182" fontId="14" fillId="10" borderId="2" xfId="2" applyNumberFormat="1" applyFont="1" applyFill="1" applyBorder="1" applyAlignment="1">
      <alignment horizontal="center" vertical="center"/>
    </xf>
    <xf numFmtId="0" fontId="14" fillId="7" borderId="2" xfId="2" applyFont="1" applyFill="1" applyBorder="1" applyAlignment="1">
      <alignment horizontal="center" vertical="center"/>
    </xf>
    <xf numFmtId="0" fontId="14" fillId="10" borderId="2" xfId="2" applyFont="1" applyFill="1" applyBorder="1" applyAlignment="1">
      <alignment horizontal="center" vertical="center"/>
    </xf>
    <xf numFmtId="0" fontId="14" fillId="0" borderId="0" xfId="2" applyFont="1" applyAlignment="1">
      <alignment vertical="center"/>
    </xf>
    <xf numFmtId="167" fontId="4" fillId="13" borderId="0" xfId="2" applyNumberFormat="1" applyFont="1" applyFill="1" applyAlignment="1">
      <alignment horizontal="center" vertical="center"/>
    </xf>
    <xf numFmtId="178" fontId="4" fillId="0" borderId="0" xfId="2" applyNumberFormat="1" applyFont="1" applyFill="1" applyAlignment="1">
      <alignment horizontal="center" vertical="center"/>
    </xf>
    <xf numFmtId="167" fontId="4" fillId="0" borderId="0" xfId="2" applyNumberFormat="1" applyFont="1" applyFill="1" applyAlignment="1">
      <alignment horizontal="center" vertical="center"/>
    </xf>
    <xf numFmtId="0" fontId="4" fillId="0" borderId="0" xfId="2" applyFont="1" applyBorder="1" applyAlignment="1">
      <alignment vertical="center"/>
    </xf>
    <xf numFmtId="170" fontId="3" fillId="5" borderId="5" xfId="2" applyNumberFormat="1" applyFont="1" applyFill="1" applyBorder="1" applyAlignment="1">
      <alignment horizontal="center" vertical="center"/>
    </xf>
    <xf numFmtId="0" fontId="4" fillId="5" borderId="4" xfId="2" quotePrefix="1" applyFont="1" applyFill="1" applyBorder="1" applyAlignment="1">
      <alignment vertical="center"/>
    </xf>
    <xf numFmtId="173" fontId="4" fillId="0" borderId="0" xfId="2" applyNumberFormat="1" applyFont="1" applyAlignment="1">
      <alignment horizontal="center" vertical="center"/>
    </xf>
    <xf numFmtId="0" fontId="4" fillId="0" borderId="0" xfId="2" applyFont="1" applyFill="1" applyAlignment="1">
      <alignment horizontal="left" vertical="center"/>
    </xf>
    <xf numFmtId="0" fontId="15" fillId="0" borderId="0" xfId="2" applyFont="1" applyBorder="1" applyAlignment="1">
      <alignment vertical="center"/>
    </xf>
    <xf numFmtId="1" fontId="15" fillId="0" borderId="0" xfId="2" applyNumberFormat="1" applyFont="1" applyBorder="1" applyAlignment="1">
      <alignment vertical="center"/>
    </xf>
    <xf numFmtId="0" fontId="6" fillId="5" borderId="1" xfId="2" applyFont="1" applyFill="1" applyBorder="1" applyAlignment="1">
      <alignment horizontal="center" vertical="center"/>
    </xf>
    <xf numFmtId="0" fontId="8" fillId="0" borderId="0" xfId="2" applyFont="1" applyBorder="1" applyAlignment="1">
      <alignment horizontal="right" vertical="center"/>
    </xf>
    <xf numFmtId="0" fontId="8" fillId="14" borderId="2" xfId="2" applyFont="1" applyFill="1" applyBorder="1" applyAlignment="1">
      <alignment horizontal="center" vertical="center"/>
    </xf>
    <xf numFmtId="185" fontId="14" fillId="14" borderId="2" xfId="2" applyNumberFormat="1" applyFont="1" applyFill="1" applyBorder="1" applyAlignment="1">
      <alignment horizontal="center" vertical="center"/>
    </xf>
    <xf numFmtId="0" fontId="14" fillId="14" borderId="2" xfId="2" applyFont="1" applyFill="1" applyBorder="1" applyAlignment="1">
      <alignment horizontal="center" vertical="center"/>
    </xf>
    <xf numFmtId="167" fontId="4" fillId="4" borderId="0" xfId="2" applyNumberFormat="1" applyFont="1" applyFill="1" applyAlignment="1" applyProtection="1">
      <alignment horizontal="center" vertical="center"/>
      <protection locked="0"/>
    </xf>
    <xf numFmtId="164" fontId="4" fillId="4" borderId="0" xfId="2" applyNumberFormat="1" applyFont="1" applyFill="1" applyAlignment="1" applyProtection="1">
      <alignment horizontal="center" vertical="center"/>
      <protection locked="0"/>
    </xf>
    <xf numFmtId="182" fontId="4" fillId="4" borderId="0" xfId="2" applyNumberFormat="1" applyFont="1" applyFill="1" applyAlignment="1" applyProtection="1">
      <alignment horizontal="center" vertical="center"/>
      <protection locked="0"/>
    </xf>
    <xf numFmtId="0" fontId="4" fillId="4" borderId="0" xfId="2" applyFont="1" applyFill="1" applyAlignment="1" applyProtection="1">
      <alignment horizontal="center" vertical="center"/>
      <protection locked="0"/>
    </xf>
    <xf numFmtId="175" fontId="4" fillId="0" borderId="0" xfId="2" applyNumberFormat="1" applyFont="1" applyAlignment="1">
      <alignment horizontal="center" vertical="center"/>
    </xf>
    <xf numFmtId="171" fontId="4" fillId="0" borderId="0" xfId="2" applyNumberFormat="1" applyFont="1" applyAlignment="1">
      <alignment horizontal="center" vertical="center"/>
    </xf>
    <xf numFmtId="181" fontId="4" fillId="0" borderId="0" xfId="2" applyNumberFormat="1" applyFont="1" applyFill="1" applyAlignment="1">
      <alignment horizontal="center" vertical="center"/>
    </xf>
    <xf numFmtId="174" fontId="4" fillId="0" borderId="0" xfId="2" applyNumberFormat="1" applyFont="1" applyAlignment="1" applyProtection="1">
      <alignment horizontal="center" vertical="center"/>
    </xf>
    <xf numFmtId="166" fontId="4" fillId="8" borderId="0" xfId="2" applyNumberFormat="1" applyFont="1" applyFill="1" applyAlignment="1" applyProtection="1">
      <alignment horizontal="center" vertical="center"/>
      <protection locked="0"/>
    </xf>
    <xf numFmtId="184" fontId="4" fillId="8" borderId="0" xfId="2" applyNumberFormat="1" applyFont="1" applyFill="1" applyAlignment="1" applyProtection="1">
      <alignment horizontal="center" vertical="center"/>
      <protection locked="0"/>
    </xf>
    <xf numFmtId="167" fontId="4" fillId="8" borderId="0" xfId="2" applyNumberFormat="1" applyFont="1" applyFill="1" applyAlignment="1" applyProtection="1">
      <alignment horizontal="center" vertical="center"/>
      <protection locked="0"/>
    </xf>
    <xf numFmtId="0" fontId="4" fillId="8" borderId="0" xfId="2" applyFont="1" applyFill="1" applyAlignment="1" applyProtection="1">
      <alignment horizontal="center" vertical="center"/>
      <protection locked="0"/>
    </xf>
    <xf numFmtId="0" fontId="21" fillId="4" borderId="0" xfId="3" applyFont="1" applyFill="1"/>
    <xf numFmtId="0" fontId="22" fillId="4" borderId="0" xfId="3" applyFont="1" applyFill="1"/>
    <xf numFmtId="0" fontId="4" fillId="0" borderId="0" xfId="2" applyFont="1" applyAlignment="1" applyProtection="1">
      <alignment vertical="center"/>
      <protection hidden="1"/>
    </xf>
    <xf numFmtId="167" fontId="4" fillId="13" borderId="0" xfId="2" applyNumberFormat="1" applyFont="1" applyFill="1" applyAlignment="1" applyProtection="1">
      <alignment horizontal="center" vertical="center"/>
      <protection locked="0"/>
    </xf>
    <xf numFmtId="181" fontId="4" fillId="0" borderId="0" xfId="2" applyNumberFormat="1" applyFont="1" applyAlignment="1">
      <alignment horizontal="center" vertical="center"/>
    </xf>
    <xf numFmtId="167" fontId="4" fillId="0" borderId="0" xfId="2" applyNumberFormat="1" applyFont="1" applyFill="1" applyAlignment="1" applyProtection="1">
      <alignment horizontal="center" vertical="center"/>
      <protection locked="0"/>
    </xf>
    <xf numFmtId="164" fontId="4" fillId="0" borderId="0" xfId="2" applyNumberFormat="1" applyFont="1" applyFill="1" applyAlignment="1" applyProtection="1">
      <alignment horizontal="center" vertical="center"/>
      <protection locked="0"/>
    </xf>
    <xf numFmtId="186" fontId="4" fillId="0" borderId="0" xfId="2" applyNumberFormat="1" applyFont="1" applyFill="1" applyAlignment="1">
      <alignment horizontal="center" vertical="center"/>
    </xf>
    <xf numFmtId="168" fontId="4" fillId="0" borderId="0" xfId="2" applyNumberFormat="1" applyFont="1" applyFill="1" applyAlignment="1">
      <alignment horizontal="center" vertical="center"/>
    </xf>
    <xf numFmtId="0" fontId="4" fillId="13" borderId="0" xfId="2" applyFont="1" applyFill="1" applyAlignment="1">
      <alignment vertical="center"/>
    </xf>
    <xf numFmtId="164" fontId="4" fillId="13" borderId="0" xfId="2" applyNumberFormat="1" applyFont="1" applyFill="1" applyAlignment="1" applyProtection="1">
      <alignment horizontal="center" vertical="center"/>
      <protection locked="0"/>
    </xf>
    <xf numFmtId="186" fontId="4" fillId="13" borderId="0" xfId="2" applyNumberFormat="1" applyFont="1" applyFill="1" applyAlignment="1">
      <alignment horizontal="center" vertical="center"/>
    </xf>
    <xf numFmtId="168" fontId="4" fillId="13" borderId="0" xfId="2" applyNumberFormat="1" applyFont="1" applyFill="1" applyAlignment="1">
      <alignment horizontal="center" vertical="center"/>
    </xf>
    <xf numFmtId="0" fontId="4" fillId="16" borderId="0" xfId="2" applyFont="1" applyFill="1" applyAlignment="1">
      <alignment vertical="center"/>
    </xf>
    <xf numFmtId="0" fontId="8" fillId="7" borderId="2" xfId="2" applyFont="1" applyFill="1" applyBorder="1" applyAlignment="1">
      <alignment horizontal="center" vertical="center" wrapText="1"/>
    </xf>
    <xf numFmtId="182" fontId="14" fillId="7" borderId="2" xfId="2" applyNumberFormat="1" applyFont="1" applyFill="1" applyBorder="1" applyAlignment="1">
      <alignment horizontal="center" vertical="center"/>
    </xf>
    <xf numFmtId="173" fontId="4" fillId="16" borderId="0" xfId="2" applyNumberFormat="1" applyFont="1" applyFill="1" applyAlignment="1">
      <alignment horizontal="center" vertical="center"/>
    </xf>
    <xf numFmtId="187" fontId="3" fillId="17" borderId="5" xfId="2" applyNumberFormat="1" applyFont="1" applyFill="1" applyBorder="1" applyAlignment="1">
      <alignment horizontal="center" vertical="center"/>
    </xf>
    <xf numFmtId="0" fontId="4" fillId="17" borderId="4" xfId="2" quotePrefix="1" applyFont="1" applyFill="1" applyBorder="1" applyAlignment="1">
      <alignment vertical="center"/>
    </xf>
    <xf numFmtId="177" fontId="8" fillId="0" borderId="0" xfId="2" applyNumberFormat="1" applyFont="1" applyAlignment="1">
      <alignment horizontal="left" vertical="center"/>
    </xf>
    <xf numFmtId="188" fontId="8" fillId="0" borderId="0" xfId="2" applyNumberFormat="1" applyFont="1" applyAlignment="1">
      <alignment horizontal="left" vertical="center"/>
    </xf>
    <xf numFmtId="189" fontId="8" fillId="8" borderId="0" xfId="2" applyNumberFormat="1" applyFont="1" applyFill="1" applyAlignment="1" applyProtection="1">
      <alignment horizontal="left" vertical="center"/>
      <protection locked="0"/>
    </xf>
    <xf numFmtId="0" fontId="6" fillId="0" borderId="0" xfId="2" applyFont="1" applyFill="1" applyAlignment="1">
      <alignment vertical="center"/>
    </xf>
    <xf numFmtId="0" fontId="3" fillId="12" borderId="0" xfId="2" applyFont="1" applyFill="1" applyAlignment="1">
      <alignment vertical="center"/>
    </xf>
    <xf numFmtId="0" fontId="0" fillId="15" borderId="0" xfId="0" applyFill="1"/>
    <xf numFmtId="0" fontId="20" fillId="15" borderId="0" xfId="3" applyFont="1" applyFill="1"/>
    <xf numFmtId="0" fontId="1" fillId="15" borderId="0" xfId="3" applyFill="1"/>
    <xf numFmtId="0" fontId="16" fillId="15" borderId="0" xfId="3" applyFont="1" applyFill="1"/>
    <xf numFmtId="0" fontId="17" fillId="15" borderId="0" xfId="3" applyFont="1" applyFill="1"/>
    <xf numFmtId="0" fontId="3" fillId="15" borderId="0" xfId="0" applyFont="1" applyFill="1"/>
    <xf numFmtId="0" fontId="19" fillId="15" borderId="0" xfId="3" applyFont="1" applyFill="1"/>
    <xf numFmtId="0" fontId="0" fillId="4" borderId="0" xfId="0" applyFill="1"/>
    <xf numFmtId="0" fontId="20" fillId="4" borderId="0" xfId="3" applyFont="1" applyFill="1"/>
    <xf numFmtId="0" fontId="1" fillId="4" borderId="0" xfId="3" applyFill="1"/>
    <xf numFmtId="0" fontId="3" fillId="4" borderId="0" xfId="0" applyFont="1" applyFill="1"/>
    <xf numFmtId="0" fontId="0" fillId="13" borderId="0" xfId="0" applyFill="1"/>
    <xf numFmtId="0" fontId="3" fillId="13" borderId="0" xfId="0" applyFont="1" applyFill="1"/>
    <xf numFmtId="0" fontId="23" fillId="15" borderId="0" xfId="0" applyFont="1" applyFill="1"/>
    <xf numFmtId="9" fontId="4" fillId="4" borderId="0" xfId="1" applyFont="1" applyFill="1" applyAlignment="1" applyProtection="1">
      <alignment horizontal="center" vertical="center"/>
      <protection locked="0"/>
    </xf>
    <xf numFmtId="0" fontId="24" fillId="0" borderId="0" xfId="2" applyFont="1" applyAlignment="1">
      <alignment horizontal="center" vertical="center"/>
    </xf>
    <xf numFmtId="0" fontId="24" fillId="0" borderId="0" xfId="2" applyFont="1" applyAlignment="1" applyProtection="1">
      <alignment horizontal="center" vertical="center"/>
      <protection hidden="1"/>
    </xf>
    <xf numFmtId="172" fontId="24" fillId="0" borderId="0" xfId="2" applyNumberFormat="1" applyFont="1" applyAlignment="1">
      <alignment horizontal="center" vertical="center"/>
    </xf>
    <xf numFmtId="0" fontId="0" fillId="13" borderId="0" xfId="0" applyFill="1" applyAlignment="1">
      <alignment horizontal="center" vertical="center"/>
    </xf>
    <xf numFmtId="0" fontId="3" fillId="13" borderId="2" xfId="0" applyFont="1" applyFill="1" applyBorder="1" applyAlignment="1">
      <alignment horizontal="center" vertical="center"/>
    </xf>
    <xf numFmtId="0" fontId="3" fillId="13" borderId="0" xfId="0" applyFont="1" applyFill="1" applyAlignment="1">
      <alignment vertical="center"/>
    </xf>
    <xf numFmtId="0" fontId="2" fillId="13" borderId="2" xfId="0" quotePrefix="1" applyFont="1" applyFill="1" applyBorder="1" applyAlignment="1">
      <alignment horizontal="center" vertical="center"/>
    </xf>
    <xf numFmtId="0" fontId="0" fillId="13" borderId="0" xfId="0" applyFill="1" applyAlignment="1">
      <alignment vertical="center"/>
    </xf>
    <xf numFmtId="0" fontId="0" fillId="13" borderId="2" xfId="0" applyFill="1" applyBorder="1" applyAlignment="1">
      <alignment horizontal="center" vertical="center"/>
    </xf>
    <xf numFmtId="0" fontId="2" fillId="13" borderId="2" xfId="0" applyFont="1" applyFill="1" applyBorder="1" applyAlignment="1">
      <alignment horizontal="left" vertical="center" indent="1"/>
    </xf>
    <xf numFmtId="0" fontId="10" fillId="13" borderId="0" xfId="0" applyFont="1" applyFill="1"/>
    <xf numFmtId="0" fontId="11" fillId="13" borderId="0" xfId="0" applyFont="1" applyFill="1"/>
    <xf numFmtId="0" fontId="11" fillId="13" borderId="0" xfId="0" quotePrefix="1" applyFont="1" applyFill="1" applyAlignment="1">
      <alignment horizontal="left"/>
    </xf>
    <xf numFmtId="0" fontId="25" fillId="13" borderId="0" xfId="0" applyFont="1" applyFill="1"/>
    <xf numFmtId="17" fontId="2" fillId="13" borderId="2" xfId="0" applyNumberFormat="1" applyFont="1" applyFill="1" applyBorder="1" applyAlignment="1">
      <alignment horizontal="center" vertical="center"/>
    </xf>
    <xf numFmtId="189" fontId="8" fillId="0" borderId="0" xfId="2" applyNumberFormat="1" applyFont="1" applyFill="1" applyAlignment="1" applyProtection="1">
      <alignment horizontal="left" vertical="center"/>
      <protection locked="0"/>
    </xf>
    <xf numFmtId="0" fontId="8" fillId="11" borderId="2" xfId="2" applyFont="1" applyFill="1" applyBorder="1" applyAlignment="1">
      <alignment horizontal="center" vertical="center"/>
    </xf>
    <xf numFmtId="182" fontId="14" fillId="11" borderId="2" xfId="2" applyNumberFormat="1" applyFont="1" applyFill="1" applyBorder="1" applyAlignment="1">
      <alignment horizontal="center" vertical="center"/>
    </xf>
    <xf numFmtId="0" fontId="8" fillId="18" borderId="2" xfId="2" applyFont="1" applyFill="1" applyBorder="1" applyAlignment="1">
      <alignment horizontal="center" vertical="center"/>
    </xf>
    <xf numFmtId="182" fontId="14" fillId="18" borderId="2" xfId="2" applyNumberFormat="1" applyFont="1" applyFill="1" applyBorder="1" applyAlignment="1">
      <alignment horizontal="center" vertical="center"/>
    </xf>
    <xf numFmtId="0" fontId="14" fillId="18" borderId="2" xfId="2" applyFont="1" applyFill="1" applyBorder="1" applyAlignment="1">
      <alignment horizontal="center" vertical="center"/>
    </xf>
    <xf numFmtId="0" fontId="14" fillId="11" borderId="2" xfId="2" quotePrefix="1" applyFont="1" applyFill="1" applyBorder="1" applyAlignment="1">
      <alignment horizontal="center" vertical="center"/>
    </xf>
    <xf numFmtId="166" fontId="4" fillId="8" borderId="0" xfId="2" applyNumberFormat="1" applyFont="1" applyFill="1" applyAlignment="1">
      <alignment horizontal="center" vertical="center"/>
    </xf>
    <xf numFmtId="0" fontId="4" fillId="0" borderId="0" xfId="2" applyFont="1" applyFill="1" applyAlignment="1" applyProtection="1">
      <alignment horizontal="center" vertical="center"/>
      <protection locked="0"/>
    </xf>
    <xf numFmtId="182" fontId="4" fillId="0" borderId="0" xfId="2" applyNumberFormat="1" applyFont="1" applyFill="1" applyAlignment="1" applyProtection="1">
      <alignment horizontal="center" vertical="center"/>
      <protection locked="0"/>
    </xf>
    <xf numFmtId="164" fontId="4" fillId="0" borderId="0" xfId="2" applyNumberFormat="1" applyFont="1" applyFill="1" applyAlignment="1">
      <alignment horizontal="center" vertical="center"/>
    </xf>
    <xf numFmtId="190" fontId="4" fillId="0" borderId="0" xfId="2" applyNumberFormat="1" applyFont="1" applyAlignment="1">
      <alignment horizontal="center" vertical="center"/>
    </xf>
    <xf numFmtId="0" fontId="2" fillId="15" borderId="0" xfId="0" applyFont="1" applyFill="1"/>
    <xf numFmtId="0" fontId="26" fillId="15" borderId="0" xfId="3" applyFont="1" applyFill="1"/>
    <xf numFmtId="0" fontId="30" fillId="15" borderId="0" xfId="3" applyFont="1" applyFill="1"/>
    <xf numFmtId="0" fontId="31" fillId="15" borderId="0" xfId="3" applyFont="1" applyFill="1"/>
    <xf numFmtId="0" fontId="2" fillId="4" borderId="0" xfId="0" applyFont="1" applyFill="1"/>
    <xf numFmtId="0" fontId="2" fillId="13" borderId="0" xfId="0" applyFont="1" applyFill="1"/>
    <xf numFmtId="0" fontId="11" fillId="11" borderId="0" xfId="2" applyFont="1" applyFill="1" applyAlignment="1">
      <alignment horizontal="center" vertical="center"/>
    </xf>
    <xf numFmtId="0" fontId="3" fillId="4" borderId="0" xfId="2" applyFont="1" applyFill="1" applyAlignment="1">
      <alignment horizontal="center" vertical="center" wrapText="1"/>
    </xf>
    <xf numFmtId="0" fontId="3" fillId="8" borderId="0" xfId="2" applyFont="1" applyFill="1" applyAlignment="1">
      <alignment horizontal="center" vertical="center" wrapText="1"/>
    </xf>
    <xf numFmtId="0" fontId="4" fillId="12" borderId="0" xfId="2" applyFont="1" applyFill="1" applyAlignment="1">
      <alignment horizontal="right" vertical="center"/>
    </xf>
    <xf numFmtId="0" fontId="11" fillId="0" borderId="3" xfId="2" applyFont="1" applyFill="1" applyBorder="1" applyAlignment="1">
      <alignment horizontal="right" vertical="center"/>
    </xf>
    <xf numFmtId="0" fontId="11" fillId="0" borderId="4" xfId="2" applyFont="1" applyFill="1" applyBorder="1" applyAlignment="1">
      <alignment horizontal="right" vertical="center"/>
    </xf>
    <xf numFmtId="0" fontId="8" fillId="0" borderId="2" xfId="2" applyFont="1" applyBorder="1" applyAlignment="1">
      <alignment horizontal="center" vertical="center"/>
    </xf>
    <xf numFmtId="0" fontId="6" fillId="0" borderId="0" xfId="2" applyFont="1" applyAlignment="1">
      <alignment horizontal="center" vertical="center"/>
    </xf>
    <xf numFmtId="0" fontId="6" fillId="0" borderId="0" xfId="2" applyFont="1" applyAlignment="1">
      <alignment horizontal="center" vertical="center" wrapText="1"/>
    </xf>
    <xf numFmtId="0" fontId="11" fillId="6" borderId="0" xfId="2" applyFont="1" applyFill="1" applyAlignment="1">
      <alignment horizontal="center" vertical="center"/>
    </xf>
    <xf numFmtId="0" fontId="3" fillId="12" borderId="0" xfId="2" applyFont="1" applyFill="1" applyAlignment="1">
      <alignment horizontal="center" vertical="center"/>
    </xf>
    <xf numFmtId="0" fontId="4" fillId="0" borderId="0" xfId="2" applyFont="1" applyFill="1" applyAlignment="1">
      <alignment horizontal="center" vertical="center"/>
    </xf>
    <xf numFmtId="0" fontId="11" fillId="7" borderId="0" xfId="2" applyFont="1" applyFill="1" applyAlignment="1">
      <alignment horizontal="center" vertical="center" wrapText="1"/>
    </xf>
    <xf numFmtId="0" fontId="11" fillId="7" borderId="0" xfId="2" applyFont="1" applyFill="1" applyAlignment="1">
      <alignment horizontal="center" vertical="center"/>
    </xf>
    <xf numFmtId="0" fontId="11" fillId="8" borderId="0" xfId="2" applyFont="1" applyFill="1" applyAlignment="1">
      <alignment horizontal="center" vertical="center"/>
    </xf>
    <xf numFmtId="0" fontId="11" fillId="9" borderId="0" xfId="2" applyFont="1" applyFill="1" applyAlignment="1">
      <alignment horizontal="center" vertical="center"/>
    </xf>
    <xf numFmtId="0" fontId="11" fillId="10" borderId="0" xfId="2" applyFont="1" applyFill="1" applyAlignment="1">
      <alignment horizontal="center" vertical="center"/>
    </xf>
  </cellXfs>
  <cellStyles count="4">
    <cellStyle name="Normal" xfId="0" builtinId="0"/>
    <cellStyle name="Normal 2" xfId="2" xr:uid="{00000000-0005-0000-0000-000001000000}"/>
    <cellStyle name="Normal 3" xfId="3" xr:uid="{00000000-0005-0000-0000-000002000000}"/>
    <cellStyle name="Percent" xfId="1" builtinId="5"/>
  </cellStyles>
  <dxfs count="3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theme="9" tint="-0.24994659260841701"/>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fill>
        <patternFill patternType="none">
          <bgColor auto="1"/>
        </patternFill>
      </fill>
    </dxf>
    <dxf>
      <font>
        <b/>
        <i val="0"/>
        <color rgb="FFFF0000"/>
      </font>
    </dxf>
    <dxf>
      <font>
        <b/>
        <i val="0"/>
        <color theme="9" tint="-0.24994659260841701"/>
      </font>
    </dxf>
    <dxf>
      <font>
        <b/>
        <i val="0"/>
        <color rgb="FFFF0000"/>
      </font>
      <fill>
        <patternFill patternType="none">
          <bgColor auto="1"/>
        </patternFill>
      </fill>
    </dxf>
    <dxf>
      <font>
        <b/>
        <i val="0"/>
        <color rgb="FFFF0000"/>
      </font>
    </dxf>
    <dxf>
      <font>
        <color theme="0"/>
      </font>
      <fill>
        <patternFill>
          <bgColor indexed="10"/>
        </patternFill>
      </fill>
    </dxf>
    <dxf>
      <font>
        <color theme="0"/>
      </font>
      <fill>
        <patternFill>
          <bgColor rgb="FFFF0000"/>
        </patternFill>
      </fill>
    </dxf>
  </dxfs>
  <tableStyles count="0" defaultTableStyle="TableStyleMedium9" defaultPivotStyle="PivotStyleLight16"/>
  <colors>
    <mruColors>
      <color rgb="FFFF9900"/>
      <color rgb="FF969696"/>
      <color rgb="FF56EE32"/>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Power Distribution Vpre SMPS</a:t>
            </a:r>
          </a:p>
        </c:rich>
      </c:tx>
      <c:layout>
        <c:manualLayout>
          <c:xMode val="edge"/>
          <c:yMode val="edge"/>
          <c:x val="0.30898853838239093"/>
          <c:y val="2.7559055118110291E-2"/>
        </c:manualLayout>
      </c:layout>
      <c:overlay val="0"/>
      <c:spPr>
        <a:noFill/>
        <a:ln w="25400">
          <a:noFill/>
        </a:ln>
      </c:spPr>
    </c:title>
    <c:autoTitleDeleted val="0"/>
    <c:plotArea>
      <c:layout>
        <c:manualLayout>
          <c:layoutTarget val="inner"/>
          <c:xMode val="edge"/>
          <c:yMode val="edge"/>
          <c:x val="1.4044943820224568E-2"/>
          <c:y val="0.21351977020571539"/>
          <c:w val="0.8728621354024737"/>
          <c:h val="0.66836999357381899"/>
        </c:manualLayout>
      </c:layout>
      <c:ofPieChart>
        <c:ofPieType val="pie"/>
        <c:varyColors val="1"/>
        <c:ser>
          <c:idx val="0"/>
          <c:order val="0"/>
          <c:spPr>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0-74B0-4853-8CC9-26DFF903A6CC}"/>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74B0-4853-8CC9-26DFF903A6CC}"/>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74B0-4853-8CC9-26DFF903A6CC}"/>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74B0-4853-8CC9-26DFF903A6CC}"/>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74B0-4853-8CC9-26DFF903A6CC}"/>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74B0-4853-8CC9-26DFF903A6CC}"/>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74B0-4853-8CC9-26DFF903A6CC}"/>
              </c:ext>
            </c:extLst>
          </c:dPt>
          <c:dLbls>
            <c:dLbl>
              <c:idx val="0"/>
              <c:layout>
                <c:manualLayout>
                  <c:x val="4.2444718431374467E-3"/>
                  <c:y val="-8.6250878620112766E-3"/>
                </c:manualLayout>
              </c:layout>
              <c:tx>
                <c:rich>
                  <a:bodyPr/>
                  <a:lstStyle/>
                  <a:p>
                    <a:r>
                      <a:rPr lang="en-US" sz="1000" b="1"/>
                      <a:t>Mos_cond</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B0-4853-8CC9-26DFF903A6CC}"/>
                </c:ext>
              </c:extLst>
            </c:dLbl>
            <c:dLbl>
              <c:idx val="1"/>
              <c:layout>
                <c:manualLayout>
                  <c:x val="-1.9723165032561427E-2"/>
                  <c:y val="-2.3373269414542841E-3"/>
                </c:manualLayout>
              </c:layout>
              <c:tx>
                <c:rich>
                  <a:bodyPr/>
                  <a:lstStyle/>
                  <a:p>
                    <a:r>
                      <a:rPr lang="en-US" sz="1000" b="1"/>
                      <a:t>Mos_sw</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B0-4853-8CC9-26DFF903A6CC}"/>
                </c:ext>
              </c:extLst>
            </c:dLbl>
            <c:dLbl>
              <c:idx val="2"/>
              <c:layout>
                <c:manualLayout>
                  <c:x val="2.0852428183487739E-3"/>
                  <c:y val="-1.7267945568990434E-2"/>
                </c:manualLayout>
              </c:layout>
              <c:tx>
                <c:rich>
                  <a:bodyPr/>
                  <a:lstStyle/>
                  <a:p>
                    <a:r>
                      <a:rPr lang="en-US" sz="1000" b="1"/>
                      <a:t>diode</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B0-4853-8CC9-26DFF903A6CC}"/>
                </c:ext>
              </c:extLst>
            </c:dLbl>
            <c:dLbl>
              <c:idx val="3"/>
              <c:layout>
                <c:manualLayout>
                  <c:x val="1.4660394226677961E-2"/>
                  <c:y val="-1.2138139812169501E-2"/>
                </c:manualLayout>
              </c:layout>
              <c:tx>
                <c:rich>
                  <a:bodyPr/>
                  <a:lstStyle/>
                  <a:p>
                    <a:r>
                      <a:rPr lang="en-US" sz="1000" b="1"/>
                      <a:t>Cout</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B0-4853-8CC9-26DFF903A6CC}"/>
                </c:ext>
              </c:extLst>
            </c:dLbl>
            <c:dLbl>
              <c:idx val="4"/>
              <c:layout>
                <c:manualLayout>
                  <c:x val="1.817047459231556E-2"/>
                  <c:y val="-1.2354152633575671E-2"/>
                </c:manualLayout>
              </c:layout>
              <c:tx>
                <c:rich>
                  <a:bodyPr/>
                  <a:lstStyle/>
                  <a:p>
                    <a:r>
                      <a:rPr lang="en-US" sz="1000" b="1"/>
                      <a:t>L</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B0-4853-8CC9-26DFF903A6CC}"/>
                </c:ext>
              </c:extLst>
            </c:dLbl>
            <c:dLbl>
              <c:idx val="5"/>
              <c:layout>
                <c:manualLayout>
                  <c:x val="0.10647393908890852"/>
                  <c:y val="-0.13478624850930826"/>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B0-4853-8CC9-26DFF903A6CC}"/>
                </c:ext>
              </c:extLst>
            </c:dLbl>
            <c:dLbl>
              <c:idx val="6"/>
              <c:layout>
                <c:manualLayout>
                  <c:x val="-1.3263947352492884E-2"/>
                  <c:y val="-7.8603455818022794E-3"/>
                </c:manualLayout>
              </c:layout>
              <c:tx>
                <c:rich>
                  <a:bodyPr/>
                  <a:lstStyle/>
                  <a:p>
                    <a:r>
                      <a:rPr lang="en-US" sz="1000" b="1"/>
                      <a:t>Pdis</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4B0-4853-8CC9-26DFF903A6CC}"/>
                </c:ext>
              </c:extLst>
            </c:dLbl>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(FS6500_FS4500_PDTCALC!$B$25:$B$26,FS6500_FS4500_PDTCALC!$B$28:$B$30,FS6500_FS4500_PDTCALC!$H$22)</c:f>
              <c:strCache>
                <c:ptCount val="6"/>
                <c:pt idx="0">
                  <c:v>P_cond</c:v>
                </c:pt>
                <c:pt idx="1">
                  <c:v>P_sw</c:v>
                </c:pt>
                <c:pt idx="2">
                  <c:v>P_diode</c:v>
                </c:pt>
                <c:pt idx="3">
                  <c:v>P_Cout</c:v>
                </c:pt>
                <c:pt idx="4">
                  <c:v>P_L</c:v>
                </c:pt>
                <c:pt idx="5">
                  <c:v>Pout</c:v>
                </c:pt>
              </c:strCache>
            </c:strRef>
          </c:cat>
          <c:val>
            <c:numRef>
              <c:f>(FS6500_FS4500_PDTCALC!$C$25:$C$26,FS6500_FS4500_PDTCALC!$C$28:$C$30,FS6500_FS4500_PDTCALC!$I$22)</c:f>
              <c:numCache>
                <c:formatCode>0.000\ "W"</c:formatCode>
                <c:ptCount val="6"/>
                <c:pt idx="0">
                  <c:v>1.1623157977092867E-2</c:v>
                </c:pt>
                <c:pt idx="1">
                  <c:v>7.7538990994462986E-2</c:v>
                </c:pt>
                <c:pt idx="2">
                  <c:v>4.9992930205951823E-2</c:v>
                </c:pt>
                <c:pt idx="3">
                  <c:v>4.0841936694290627E-4</c:v>
                </c:pt>
                <c:pt idx="4">
                  <c:v>6.743920771542667E-3</c:v>
                </c:pt>
                <c:pt idx="5" formatCode="0.0\ &quot;W&quot;">
                  <c:v>2.0985065748990492</c:v>
                </c:pt>
              </c:numCache>
            </c:numRef>
          </c:val>
          <c:extLst>
            <c:ext xmlns:c16="http://schemas.microsoft.com/office/drawing/2014/chart" uri="{C3380CC4-5D6E-409C-BE32-E72D297353CC}">
              <c16:uniqueId val="{00000007-74B0-4853-8CC9-26DFF903A6CC}"/>
            </c:ext>
          </c:extLst>
        </c:ser>
        <c:dLbls>
          <c:showLegendKey val="0"/>
          <c:showVal val="0"/>
          <c:showCatName val="0"/>
          <c:showSerName val="0"/>
          <c:showPercent val="0"/>
          <c:showBubbleSize val="0"/>
          <c:showLeaderLines val="1"/>
        </c:dLbls>
        <c:gapWidth val="50"/>
        <c:splitType val="cust"/>
        <c:custSplit>
          <c:secondPiePt val="0"/>
          <c:secondPiePt val="1"/>
          <c:secondPiePt val="2"/>
          <c:secondPiePt val="3"/>
          <c:secondPiePt val="4"/>
        </c:custSplit>
        <c:secondPieSize val="150"/>
        <c:serLines>
          <c:spPr>
            <a:ln w="3175">
              <a:solidFill>
                <a:srgbClr val="000000"/>
              </a:solidFill>
              <a:prstDash val="solid"/>
            </a:ln>
          </c:spPr>
        </c:serLines>
      </c:of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77" r="0.75000000000000377" t="1"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US" sz="1000"/>
              <a:t>Power Distribution Vcore SMPS</a:t>
            </a:r>
          </a:p>
        </c:rich>
      </c:tx>
      <c:layout>
        <c:manualLayout>
          <c:xMode val="edge"/>
          <c:yMode val="edge"/>
          <c:x val="0.30028317413192201"/>
          <c:y val="2.7559055118110291E-2"/>
        </c:manualLayout>
      </c:layout>
      <c:overlay val="0"/>
      <c:spPr>
        <a:noFill/>
        <a:ln w="25400">
          <a:noFill/>
        </a:ln>
      </c:spPr>
    </c:title>
    <c:autoTitleDeleted val="0"/>
    <c:plotArea>
      <c:layout>
        <c:manualLayout>
          <c:layoutTarget val="inner"/>
          <c:xMode val="edge"/>
          <c:yMode val="edge"/>
          <c:x val="2.0219823719798982E-2"/>
          <c:y val="0.19880490504956652"/>
          <c:w val="0.81761533259661523"/>
          <c:h val="0.62386521845877674"/>
        </c:manualLayout>
      </c:layout>
      <c:ofPieChart>
        <c:ofPieType val="pie"/>
        <c:varyColors val="1"/>
        <c:ser>
          <c:idx val="0"/>
          <c:order val="0"/>
          <c:spPr>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0-D5AF-4929-8A6A-A110ACF8C3C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D5AF-4929-8A6A-A110ACF8C3C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D5AF-4929-8A6A-A110ACF8C3C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D5AF-4929-8A6A-A110ACF8C3C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D5AF-4929-8A6A-A110ACF8C3C2}"/>
              </c:ext>
            </c:extLst>
          </c:dPt>
          <c:dPt>
            <c:idx val="5"/>
            <c:bubble3D val="0"/>
            <c:explosion val="0"/>
            <c:spPr>
              <a:solidFill>
                <a:srgbClr val="FF8080"/>
              </a:solidFill>
              <a:ln w="12700">
                <a:solidFill>
                  <a:srgbClr val="000000"/>
                </a:solidFill>
                <a:prstDash val="solid"/>
              </a:ln>
            </c:spPr>
            <c:extLst>
              <c:ext xmlns:c16="http://schemas.microsoft.com/office/drawing/2014/chart" uri="{C3380CC4-5D6E-409C-BE32-E72D297353CC}">
                <c16:uniqueId val="{00000005-D5AF-4929-8A6A-A110ACF8C3C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D5AF-4929-8A6A-A110ACF8C3C2}"/>
              </c:ext>
            </c:extLst>
          </c:dPt>
          <c:dLbls>
            <c:dLbl>
              <c:idx val="0"/>
              <c:layout>
                <c:manualLayout>
                  <c:x val="1.5080917561364452E-2"/>
                  <c:y val="3.1385025220634612E-2"/>
                </c:manualLayout>
              </c:layout>
              <c:tx>
                <c:rich>
                  <a:bodyPr/>
                  <a:lstStyle/>
                  <a:p>
                    <a:r>
                      <a:rPr lang="en-US" sz="1000" b="1"/>
                      <a:t>Mos_cond</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AF-4929-8A6A-A110ACF8C3C2}"/>
                </c:ext>
              </c:extLst>
            </c:dLbl>
            <c:dLbl>
              <c:idx val="1"/>
              <c:layout>
                <c:manualLayout>
                  <c:x val="0.19426729806145607"/>
                  <c:y val="-3.78943918369282E-2"/>
                </c:manualLayout>
              </c:layout>
              <c:tx>
                <c:rich>
                  <a:bodyPr/>
                  <a:lstStyle/>
                  <a:p>
                    <a:pPr>
                      <a:defRPr sz="1000" b="1" i="0" u="none" strike="noStrike" baseline="0">
                        <a:solidFill>
                          <a:schemeClr val="bg1"/>
                        </a:solidFill>
                        <a:latin typeface="Arial"/>
                        <a:ea typeface="Arial"/>
                        <a:cs typeface="Arial"/>
                      </a:defRPr>
                    </a:pPr>
                    <a:r>
                      <a:rPr lang="en-US" sz="1000" b="1">
                        <a:solidFill>
                          <a:schemeClr val="bg1"/>
                        </a:solidFill>
                      </a:rPr>
                      <a:t>Mos_sw</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5AF-4929-8A6A-A110ACF8C3C2}"/>
                </c:ext>
              </c:extLst>
            </c:dLbl>
            <c:dLbl>
              <c:idx val="2"/>
              <c:layout>
                <c:manualLayout>
                  <c:x val="2.4053828719853173E-2"/>
                  <c:y val="-3.1296815481397539E-2"/>
                </c:manualLayout>
              </c:layout>
              <c:tx>
                <c:rich>
                  <a:bodyPr/>
                  <a:lstStyle/>
                  <a:p>
                    <a:r>
                      <a:rPr lang="en-US" sz="1000" b="1"/>
                      <a:t>diode</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AF-4929-8A6A-A110ACF8C3C2}"/>
                </c:ext>
              </c:extLst>
            </c:dLbl>
            <c:dLbl>
              <c:idx val="3"/>
              <c:layout>
                <c:manualLayout>
                  <c:x val="3.1033344920177067E-2"/>
                  <c:y val="-4.3389156001517486E-2"/>
                </c:manualLayout>
              </c:layout>
              <c:tx>
                <c:rich>
                  <a:bodyPr/>
                  <a:lstStyle/>
                  <a:p>
                    <a:r>
                      <a:rPr lang="en-US" sz="1000" b="1"/>
                      <a:t>Cout</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AF-4929-8A6A-A110ACF8C3C2}"/>
                </c:ext>
              </c:extLst>
            </c:dLbl>
            <c:dLbl>
              <c:idx val="4"/>
              <c:layout>
                <c:manualLayout>
                  <c:x val="4.0180402113843432E-2"/>
                  <c:y val="5.9033052284393803E-2"/>
                </c:manualLayout>
              </c:layout>
              <c:tx>
                <c:rich>
                  <a:bodyPr/>
                  <a:lstStyle/>
                  <a:p>
                    <a:r>
                      <a:rPr lang="en-US" sz="1000" b="1"/>
                      <a:t>L</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AF-4929-8A6A-A110ACF8C3C2}"/>
                </c:ext>
              </c:extLst>
            </c:dLbl>
            <c:dLbl>
              <c:idx val="5"/>
              <c:layout>
                <c:manualLayout>
                  <c:x val="-3.8558565480021241E-2"/>
                  <c:y val="0.10842527582748311"/>
                </c:manualLayout>
              </c:layout>
              <c:tx>
                <c:rich>
                  <a:bodyPr/>
                  <a:lstStyle/>
                  <a:p>
                    <a:r>
                      <a:rPr lang="en-US" sz="1000" b="1"/>
                      <a:t>Pout</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5AF-4929-8A6A-A110ACF8C3C2}"/>
                </c:ext>
              </c:extLst>
            </c:dLbl>
            <c:dLbl>
              <c:idx val="6"/>
              <c:layout>
                <c:manualLayout>
                  <c:x val="0.11145040658449516"/>
                  <c:y val="-0.10672963773209412"/>
                </c:manualLayout>
              </c:layout>
              <c:tx>
                <c:rich>
                  <a:bodyPr/>
                  <a:lstStyle/>
                  <a:p>
                    <a:r>
                      <a:rPr lang="en-US" sz="1000" b="1"/>
                      <a:t>Pdis</a:t>
                    </a:r>
                  </a:p>
                </c:rich>
              </c:tx>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5AF-4929-8A6A-A110ACF8C3C2}"/>
                </c:ext>
              </c:extLst>
            </c:dLbl>
            <c:dLbl>
              <c:idx val="7"/>
              <c:layout>
                <c:manualLayout>
                  <c:x val="-0.10108043653172086"/>
                  <c:y val="-8.6874797621210557E-6"/>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5AF-4929-8A6A-A110ACF8C3C2}"/>
                </c:ext>
              </c:extLst>
            </c:dLbl>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(FS6500_FS4500_PDTCALC!$N$25:$N$26,FS6500_FS4500_PDTCALC!$N$28:$N$31,FS6500_FS4500_PDTCALC!$T$22)</c:f>
              <c:strCache>
                <c:ptCount val="7"/>
                <c:pt idx="0">
                  <c:v>P_cond</c:v>
                </c:pt>
                <c:pt idx="1">
                  <c:v>P_sw</c:v>
                </c:pt>
                <c:pt idx="2">
                  <c:v>P_diode</c:v>
                </c:pt>
                <c:pt idx="3">
                  <c:v>P_Cout</c:v>
                </c:pt>
                <c:pt idx="4">
                  <c:v>P_L</c:v>
                </c:pt>
                <c:pt idx="6">
                  <c:v>Pout</c:v>
                </c:pt>
              </c:strCache>
            </c:strRef>
          </c:cat>
          <c:val>
            <c:numRef>
              <c:f>(FS6500_FS4500_PDTCALC!$O$25:$O$26,FS6500_FS4500_PDTCALC!$O$28:$O$31,FS6500_FS4500_PDTCALC!$U$22)</c:f>
              <c:numCache>
                <c:formatCode>0.000\ "W"</c:formatCode>
                <c:ptCount val="7"/>
                <c:pt idx="0">
                  <c:v>4.1885125184094258E-3</c:v>
                </c:pt>
                <c:pt idx="1">
                  <c:v>0.12816</c:v>
                </c:pt>
                <c:pt idx="2">
                  <c:v>8.0567010309278334E-2</c:v>
                </c:pt>
                <c:pt idx="3">
                  <c:v>4.3934023787057654E-5</c:v>
                </c:pt>
                <c:pt idx="4">
                  <c:v>1.8878680475741154E-3</c:v>
                </c:pt>
                <c:pt idx="6" formatCode="0.0\ &quot;W&quot;">
                  <c:v>0.36899999999999999</c:v>
                </c:pt>
              </c:numCache>
            </c:numRef>
          </c:val>
          <c:extLst>
            <c:ext xmlns:c16="http://schemas.microsoft.com/office/drawing/2014/chart" uri="{C3380CC4-5D6E-409C-BE32-E72D297353CC}">
              <c16:uniqueId val="{00000008-D5AF-4929-8A6A-A110ACF8C3C2}"/>
            </c:ext>
          </c:extLst>
        </c:ser>
        <c:dLbls>
          <c:showLegendKey val="0"/>
          <c:showVal val="0"/>
          <c:showCatName val="0"/>
          <c:showSerName val="0"/>
          <c:showPercent val="0"/>
          <c:showBubbleSize val="0"/>
          <c:showLeaderLines val="1"/>
        </c:dLbls>
        <c:gapWidth val="50"/>
        <c:splitType val="cust"/>
        <c:custSplit>
          <c:secondPiePt val="0"/>
          <c:secondPiePt val="1"/>
          <c:secondPiePt val="2"/>
          <c:secondPiePt val="3"/>
          <c:secondPiePt val="4"/>
        </c:custSplit>
        <c:secondPieSize val="150"/>
        <c:serLines>
          <c:spPr>
            <a:ln w="3175">
              <a:solidFill>
                <a:srgbClr val="000000"/>
              </a:solidFill>
              <a:prstDash val="solid"/>
            </a:ln>
          </c:spPr>
        </c:serLines>
      </c:of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77" r="0.75000000000000377"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000" b="1" i="0" u="none" strike="noStrike" baseline="0">
                <a:solidFill>
                  <a:srgbClr val="000000"/>
                </a:solidFill>
                <a:latin typeface="Arial"/>
                <a:ea typeface="Arial"/>
                <a:cs typeface="Arial"/>
              </a:defRPr>
            </a:pPr>
            <a:r>
              <a:rPr lang="en-US" sz="1000"/>
              <a:t>Power Distribution IC</a:t>
            </a:r>
          </a:p>
        </c:rich>
      </c:tx>
      <c:layout>
        <c:manualLayout>
          <c:xMode val="edge"/>
          <c:yMode val="edge"/>
          <c:x val="2.4193850768653952E-2"/>
          <c:y val="2.4205385935064216E-2"/>
        </c:manualLayout>
      </c:layout>
      <c:overlay val="0"/>
      <c:spPr>
        <a:noFill/>
        <a:ln w="25400">
          <a:noFill/>
        </a:ln>
      </c:spPr>
    </c:title>
    <c:autoTitleDeleted val="0"/>
    <c:view3D>
      <c:rotX val="30"/>
      <c:rotY val="180"/>
      <c:rAngAx val="0"/>
      <c:perspective val="0"/>
    </c:view3D>
    <c:floor>
      <c:thickness val="0"/>
    </c:floor>
    <c:sideWall>
      <c:thickness val="0"/>
    </c:sideWall>
    <c:backWall>
      <c:thickness val="0"/>
    </c:backWall>
    <c:plotArea>
      <c:layout>
        <c:manualLayout>
          <c:layoutTarget val="inner"/>
          <c:xMode val="edge"/>
          <c:yMode val="edge"/>
          <c:x val="7.8725340784014889E-3"/>
          <c:y val="0.10782307552579012"/>
          <c:w val="0.90722154820916734"/>
          <c:h val="0.78672685770470863"/>
        </c:manualLayout>
      </c:layout>
      <c:pie3DChart>
        <c:varyColors val="1"/>
        <c:ser>
          <c:idx val="0"/>
          <c:order val="0"/>
          <c:spPr>
            <a:solidFill>
              <a:srgbClr val="9999FF"/>
            </a:solidFill>
            <a:ln w="12700">
              <a:solidFill>
                <a:srgbClr val="000000"/>
              </a:solidFill>
              <a:prstDash val="solid"/>
            </a:ln>
          </c:spPr>
          <c:explosion val="8"/>
          <c:dPt>
            <c:idx val="0"/>
            <c:bubble3D val="0"/>
            <c:spPr>
              <a:solidFill>
                <a:schemeClr val="accent2">
                  <a:lumMod val="40000"/>
                  <a:lumOff val="60000"/>
                </a:schemeClr>
              </a:solidFill>
              <a:ln w="12700">
                <a:solidFill>
                  <a:srgbClr val="000000"/>
                </a:solidFill>
                <a:prstDash val="solid"/>
              </a:ln>
            </c:spPr>
            <c:extLst>
              <c:ext xmlns:c16="http://schemas.microsoft.com/office/drawing/2014/chart" uri="{C3380CC4-5D6E-409C-BE32-E72D297353CC}">
                <c16:uniqueId val="{00000000-6710-4AD3-B5F9-7F45E387B9EA}"/>
              </c:ext>
            </c:extLst>
          </c:dPt>
          <c:dPt>
            <c:idx val="1"/>
            <c:bubble3D val="0"/>
            <c:explosion val="7"/>
            <c:spPr>
              <a:solidFill>
                <a:schemeClr val="accent4">
                  <a:lumMod val="60000"/>
                  <a:lumOff val="40000"/>
                </a:schemeClr>
              </a:solidFill>
              <a:ln w="12700">
                <a:solidFill>
                  <a:srgbClr val="000000"/>
                </a:solidFill>
                <a:prstDash val="solid"/>
              </a:ln>
            </c:spPr>
            <c:extLst>
              <c:ext xmlns:c16="http://schemas.microsoft.com/office/drawing/2014/chart" uri="{C3380CC4-5D6E-409C-BE32-E72D297353CC}">
                <c16:uniqueId val="{00000001-6710-4AD3-B5F9-7F45E387B9EA}"/>
              </c:ext>
            </c:extLst>
          </c:dPt>
          <c:dPt>
            <c:idx val="2"/>
            <c:bubble3D val="0"/>
            <c:spPr>
              <a:solidFill>
                <a:schemeClr val="accent6">
                  <a:lumMod val="40000"/>
                  <a:lumOff val="60000"/>
                </a:schemeClr>
              </a:solidFill>
              <a:ln w="12700">
                <a:solidFill>
                  <a:srgbClr val="000000"/>
                </a:solidFill>
                <a:prstDash val="solid"/>
              </a:ln>
            </c:spPr>
            <c:extLst>
              <c:ext xmlns:c16="http://schemas.microsoft.com/office/drawing/2014/chart" uri="{C3380CC4-5D6E-409C-BE32-E72D297353CC}">
                <c16:uniqueId val="{00000002-6710-4AD3-B5F9-7F45E387B9EA}"/>
              </c:ext>
            </c:extLst>
          </c:dPt>
          <c:dPt>
            <c:idx val="3"/>
            <c:bubble3D val="0"/>
            <c:spPr>
              <a:solidFill>
                <a:schemeClr val="accent3">
                  <a:lumMod val="60000"/>
                  <a:lumOff val="40000"/>
                </a:schemeClr>
              </a:solidFill>
              <a:ln w="12700">
                <a:solidFill>
                  <a:srgbClr val="000000"/>
                </a:solidFill>
                <a:prstDash val="solid"/>
              </a:ln>
            </c:spPr>
            <c:extLst>
              <c:ext xmlns:c16="http://schemas.microsoft.com/office/drawing/2014/chart" uri="{C3380CC4-5D6E-409C-BE32-E72D297353CC}">
                <c16:uniqueId val="{00000003-6710-4AD3-B5F9-7F45E387B9EA}"/>
              </c:ext>
            </c:extLst>
          </c:dPt>
          <c:dPt>
            <c:idx val="4"/>
            <c:bubble3D val="0"/>
            <c:spPr>
              <a:solidFill>
                <a:schemeClr val="accent5">
                  <a:lumMod val="40000"/>
                  <a:lumOff val="60000"/>
                </a:schemeClr>
              </a:solidFill>
              <a:ln w="12700">
                <a:solidFill>
                  <a:srgbClr val="000000"/>
                </a:solidFill>
                <a:prstDash val="solid"/>
              </a:ln>
            </c:spPr>
            <c:extLst>
              <c:ext xmlns:c16="http://schemas.microsoft.com/office/drawing/2014/chart" uri="{C3380CC4-5D6E-409C-BE32-E72D297353CC}">
                <c16:uniqueId val="{00000004-6710-4AD3-B5F9-7F45E387B9EA}"/>
              </c:ext>
            </c:extLst>
          </c:dPt>
          <c:dPt>
            <c:idx val="5"/>
            <c:bubble3D val="0"/>
            <c:spPr>
              <a:solidFill>
                <a:schemeClr val="bg2">
                  <a:lumMod val="75000"/>
                </a:schemeClr>
              </a:solidFill>
              <a:ln w="12700">
                <a:solidFill>
                  <a:srgbClr val="000000"/>
                </a:solidFill>
                <a:prstDash val="solid"/>
              </a:ln>
            </c:spPr>
            <c:extLst>
              <c:ext xmlns:c16="http://schemas.microsoft.com/office/drawing/2014/chart" uri="{C3380CC4-5D6E-409C-BE32-E72D297353CC}">
                <c16:uniqueId val="{00000005-6710-4AD3-B5F9-7F45E387B9EA}"/>
              </c:ext>
            </c:extLst>
          </c:dPt>
          <c:dLbls>
            <c:dLbl>
              <c:idx val="0"/>
              <c:layout>
                <c:manualLayout>
                  <c:x val="0.1530055786690919"/>
                  <c:y val="-0.19806121399527626"/>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10-4AD3-B5F9-7F45E387B9EA}"/>
                </c:ext>
              </c:extLst>
            </c:dLbl>
            <c:dLbl>
              <c:idx val="1"/>
              <c:layout>
                <c:manualLayout>
                  <c:x val="0.14134627156337023"/>
                  <c:y val="4.5967550957078288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710-4AD3-B5F9-7F45E387B9EA}"/>
                </c:ext>
              </c:extLst>
            </c:dLbl>
            <c:dLbl>
              <c:idx val="2"/>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710-4AD3-B5F9-7F45E387B9EA}"/>
                </c:ext>
              </c:extLst>
            </c:dLbl>
            <c:dLbl>
              <c:idx val="3"/>
              <c:layout>
                <c:manualLayout>
                  <c:x val="-1.0679899869692609E-2"/>
                  <c:y val="-0.1120336980177933"/>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710-4AD3-B5F9-7F45E387B9EA}"/>
                </c:ext>
              </c:extLst>
            </c:dLbl>
            <c:dLbl>
              <c:idx val="4"/>
              <c:layout>
                <c:manualLayout>
                  <c:x val="0.11369505902962951"/>
                  <c:y val="5.9264553875256814E-3"/>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710-4AD3-B5F9-7F45E387B9EA}"/>
                </c:ext>
              </c:extLst>
            </c:dLbl>
            <c:dLbl>
              <c:idx val="5"/>
              <c:layout>
                <c:manualLayout>
                  <c:x val="3.3969999054771202E-2"/>
                  <c:y val="6.1247125117652373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710-4AD3-B5F9-7F45E387B9EA}"/>
                </c:ext>
              </c:extLst>
            </c:dLbl>
            <c:dLbl>
              <c:idx val="6"/>
              <c:layout>
                <c:manualLayout>
                  <c:x val="7.7661179154525334E-2"/>
                  <c:y val="0.11026130368198619"/>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710-4AD3-B5F9-7F45E387B9EA}"/>
                </c:ext>
              </c:extLst>
            </c:dLbl>
            <c:dLbl>
              <c:idx val="7"/>
              <c:layout>
                <c:manualLayout>
                  <c:x val="-7.6289055055996785E-2"/>
                  <c:y val="7.9692836355542598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710-4AD3-B5F9-7F45E387B9EA}"/>
                </c:ext>
              </c:extLst>
            </c:dLbl>
            <c:dLbl>
              <c:idx val="8"/>
              <c:layout>
                <c:manualLayout>
                  <c:x val="-0.13564881073114171"/>
                  <c:y val="6.9548101685641739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710-4AD3-B5F9-7F45E387B9EA}"/>
                </c:ext>
              </c:extLst>
            </c:dLbl>
            <c:spPr>
              <a:noFill/>
              <a:ln w="25400">
                <a:noFill/>
              </a:ln>
            </c:spPr>
            <c:txPr>
              <a:bodyPr/>
              <a:lstStyle/>
              <a:p>
                <a:pPr>
                  <a:defRPr sz="900" b="1"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FS6500_FS4500_PDTCALC!$AE$29:$AE$38</c:f>
              <c:strCache>
                <c:ptCount val="10"/>
                <c:pt idx="0">
                  <c:v>Vpre</c:v>
                </c:pt>
                <c:pt idx="1">
                  <c:v>Vcore</c:v>
                </c:pt>
                <c:pt idx="2">
                  <c:v>Vcore_Linear</c:v>
                </c:pt>
                <c:pt idx="3">
                  <c:v>Vcca</c:v>
                </c:pt>
                <c:pt idx="4">
                  <c:v>Vaux</c:v>
                </c:pt>
                <c:pt idx="5">
                  <c:v>Vcan</c:v>
                </c:pt>
                <c:pt idx="6">
                  <c:v>Vkam</c:v>
                </c:pt>
                <c:pt idx="7">
                  <c:v>CAN transceiver</c:v>
                </c:pt>
                <c:pt idx="8">
                  <c:v>LIN transceiver</c:v>
                </c:pt>
                <c:pt idx="9">
                  <c:v>Internal IC</c:v>
                </c:pt>
              </c:strCache>
            </c:strRef>
          </c:cat>
          <c:val>
            <c:numRef>
              <c:f>FS6500_FS4500_PDTCALC!$AF$29:$AF$38</c:f>
              <c:numCache>
                <c:formatCode>0.000\ "W"</c:formatCode>
                <c:ptCount val="10"/>
                <c:pt idx="0">
                  <c:v>8.916214897155586E-2</c:v>
                </c:pt>
                <c:pt idx="1">
                  <c:v>0.13234851251840943</c:v>
                </c:pt>
                <c:pt idx="2">
                  <c:v>0</c:v>
                </c:pt>
                <c:pt idx="3">
                  <c:v>0.105</c:v>
                </c:pt>
                <c:pt idx="4">
                  <c:v>1.4242133333333334E-2</c:v>
                </c:pt>
                <c:pt idx="5">
                  <c:v>4.4999999999999998E-2</c:v>
                </c:pt>
                <c:pt idx="6">
                  <c:v>0</c:v>
                </c:pt>
                <c:pt idx="7">
                  <c:v>0</c:v>
                </c:pt>
                <c:pt idx="8">
                  <c:v>0</c:v>
                </c:pt>
                <c:pt idx="9">
                  <c:v>0.06</c:v>
                </c:pt>
              </c:numCache>
            </c:numRef>
          </c:val>
          <c:extLst>
            <c:ext xmlns:c16="http://schemas.microsoft.com/office/drawing/2014/chart" uri="{C3380CC4-5D6E-409C-BE32-E72D297353CC}">
              <c16:uniqueId val="{00000009-6710-4AD3-B5F9-7F45E387B9E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77" r="0.75000000000000377"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232847</xdr:colOff>
      <xdr:row>0</xdr:row>
      <xdr:rowOff>158750</xdr:rowOff>
    </xdr:from>
    <xdr:to>
      <xdr:col>0</xdr:col>
      <xdr:colOff>2530332</xdr:colOff>
      <xdr:row>5</xdr:row>
      <xdr:rowOff>120650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47" y="158750"/>
          <a:ext cx="2297485"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112185</xdr:colOff>
      <xdr:row>1</xdr:row>
      <xdr:rowOff>13757</xdr:rowOff>
    </xdr:from>
    <xdr:to>
      <xdr:col>28</xdr:col>
      <xdr:colOff>308428</xdr:colOff>
      <xdr:row>3</xdr:row>
      <xdr:rowOff>111124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49685" y="172507"/>
          <a:ext cx="1148743"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72505</xdr:colOff>
      <xdr:row>43</xdr:row>
      <xdr:rowOff>76198</xdr:rowOff>
    </xdr:from>
    <xdr:to>
      <xdr:col>11</xdr:col>
      <xdr:colOff>413505</xdr:colOff>
      <xdr:row>67</xdr:row>
      <xdr:rowOff>120198</xdr:rowOff>
    </xdr:to>
    <xdr:graphicFrame macro="">
      <xdr:nvGraphicFramePr>
        <xdr:cNvPr id="2" name="Chart 5">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493435</xdr:colOff>
      <xdr:row>43</xdr:row>
      <xdr:rowOff>76197</xdr:rowOff>
    </xdr:from>
    <xdr:to>
      <xdr:col>22</xdr:col>
      <xdr:colOff>845019</xdr:colOff>
      <xdr:row>67</xdr:row>
      <xdr:rowOff>120197</xdr:rowOff>
    </xdr:to>
    <xdr:graphicFrame macro="">
      <xdr:nvGraphicFramePr>
        <xdr:cNvPr id="3" name="Chart 6">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10589</xdr:colOff>
      <xdr:row>43</xdr:row>
      <xdr:rowOff>76198</xdr:rowOff>
    </xdr:from>
    <xdr:to>
      <xdr:col>32</xdr:col>
      <xdr:colOff>436256</xdr:colOff>
      <xdr:row>67</xdr:row>
      <xdr:rowOff>120198</xdr:rowOff>
    </xdr:to>
    <xdr:graphicFrame macro="">
      <xdr:nvGraphicFramePr>
        <xdr:cNvPr id="4" name="Chart 8">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67236</xdr:rowOff>
    </xdr:from>
    <xdr:to>
      <xdr:col>0</xdr:col>
      <xdr:colOff>0</xdr:colOff>
      <xdr:row>4</xdr:row>
      <xdr:rowOff>33618</xdr:rowOff>
    </xdr:to>
    <xdr:sp macro="" textlink="">
      <xdr:nvSpPr>
        <xdr:cNvPr id="3" name="Oval 2">
          <a:extLst>
            <a:ext uri="{FF2B5EF4-FFF2-40B4-BE49-F238E27FC236}">
              <a16:creationId xmlns:a16="http://schemas.microsoft.com/office/drawing/2014/main" id="{00000000-0008-0000-0400-000003000000}"/>
            </a:ext>
          </a:extLst>
        </xdr:cNvPr>
        <xdr:cNvSpPr/>
      </xdr:nvSpPr>
      <xdr:spPr>
        <a:xfrm>
          <a:off x="5524500" y="224118"/>
          <a:ext cx="549088" cy="43702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53340</xdr:colOff>
          <xdr:row>0</xdr:row>
          <xdr:rowOff>53340</xdr:rowOff>
        </xdr:from>
        <xdr:to>
          <xdr:col>21</xdr:col>
          <xdr:colOff>350520</xdr:colOff>
          <xdr:row>64</xdr:row>
          <xdr:rowOff>114300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3</xdr:row>
          <xdr:rowOff>76200</xdr:rowOff>
        </xdr:from>
        <xdr:to>
          <xdr:col>21</xdr:col>
          <xdr:colOff>312420</xdr:colOff>
          <xdr:row>67</xdr:row>
          <xdr:rowOff>76200</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Microsoft_Visio_2003-2010_Drawing.vsd"/></Relationships>
</file>

<file path=xl/worksheets/_rels/sheet6.xml.rels><?xml version="1.0" encoding="UTF-8" standalone="yes"?>
<Relationships xmlns="http://schemas.openxmlformats.org/package/2006/relationships"><Relationship Id="rId3" Type="http://schemas.openxmlformats.org/officeDocument/2006/relationships/oleObject" Target="../embeddings/Microsoft_Visio_2003-2010_Drawing1.vsd"/><Relationship Id="rId2" Type="http://schemas.openxmlformats.org/officeDocument/2006/relationships/vmlDrawing" Target="../drawings/vmlDrawing3.vml"/><Relationship Id="rId1" Type="http://schemas.openxmlformats.org/officeDocument/2006/relationships/drawing" Target="../drawings/drawing5.xml"/><Relationship Id="rId4"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zoomScaleNormal="100" workbookViewId="0">
      <selection activeCell="A22" sqref="A22"/>
    </sheetView>
  </sheetViews>
  <sheetFormatPr defaultColWidth="9.109375" defaultRowHeight="13.8" x14ac:dyDescent="0.25"/>
  <cols>
    <col min="1" max="1" width="132.33203125" style="140" bestFit="1" customWidth="1"/>
    <col min="2" max="2" width="13.6640625" style="140" customWidth="1"/>
    <col min="3" max="9" width="9.109375" style="140"/>
    <col min="10" max="10" width="37.44140625" style="140" customWidth="1"/>
    <col min="11" max="16384" width="9.109375" style="140"/>
  </cols>
  <sheetData>
    <row r="1" spans="1:1" x14ac:dyDescent="0.25">
      <c r="A1" s="141"/>
    </row>
    <row r="2" spans="1:1" x14ac:dyDescent="0.25">
      <c r="A2" s="141"/>
    </row>
    <row r="3" spans="1:1" x14ac:dyDescent="0.25">
      <c r="A3" s="141"/>
    </row>
    <row r="4" spans="1:1" x14ac:dyDescent="0.25">
      <c r="A4" s="141"/>
    </row>
    <row r="5" spans="1:1" x14ac:dyDescent="0.25">
      <c r="A5" s="141"/>
    </row>
    <row r="6" spans="1:1" x14ac:dyDescent="0.25">
      <c r="A6" s="141"/>
    </row>
    <row r="7" spans="1:1" x14ac:dyDescent="0.25">
      <c r="A7" s="141"/>
    </row>
    <row r="8" spans="1:1" x14ac:dyDescent="0.25">
      <c r="A8" s="143" t="s">
        <v>111</v>
      </c>
    </row>
    <row r="9" spans="1:1" x14ac:dyDescent="0.25">
      <c r="A9" s="141" t="s">
        <v>125</v>
      </c>
    </row>
    <row r="10" spans="1:1" x14ac:dyDescent="0.25">
      <c r="A10" s="141"/>
    </row>
    <row r="11" spans="1:1" x14ac:dyDescent="0.25">
      <c r="A11" s="143" t="s">
        <v>112</v>
      </c>
    </row>
    <row r="12" spans="1:1" x14ac:dyDescent="0.25">
      <c r="A12" s="142" t="s">
        <v>113</v>
      </c>
    </row>
    <row r="13" spans="1:1" x14ac:dyDescent="0.25">
      <c r="A13" s="141"/>
    </row>
    <row r="14" spans="1:1" x14ac:dyDescent="0.25">
      <c r="A14" s="143" t="s">
        <v>109</v>
      </c>
    </row>
    <row r="15" spans="1:1" x14ac:dyDescent="0.25">
      <c r="A15" s="141" t="s">
        <v>126</v>
      </c>
    </row>
    <row r="16" spans="1:1" x14ac:dyDescent="0.25">
      <c r="A16" s="141"/>
    </row>
    <row r="17" spans="1:1" x14ac:dyDescent="0.25">
      <c r="A17" s="143" t="s">
        <v>108</v>
      </c>
    </row>
    <row r="18" spans="1:1" x14ac:dyDescent="0.25">
      <c r="A18" s="141" t="s">
        <v>124</v>
      </c>
    </row>
    <row r="19" spans="1:1" x14ac:dyDescent="0.25">
      <c r="A19" s="141"/>
    </row>
    <row r="20" spans="1:1" x14ac:dyDescent="0.25">
      <c r="A20" s="143" t="s">
        <v>110</v>
      </c>
    </row>
    <row r="21" spans="1:1" x14ac:dyDescent="0.25">
      <c r="A21" s="141" t="s">
        <v>114</v>
      </c>
    </row>
    <row r="22" spans="1:1" x14ac:dyDescent="0.25">
      <c r="A22" s="141"/>
    </row>
    <row r="23" spans="1:1" x14ac:dyDescent="0.25">
      <c r="A23" s="141"/>
    </row>
    <row r="24" spans="1:1" x14ac:dyDescent="0.25">
      <c r="A24" s="141"/>
    </row>
    <row r="25" spans="1:1" x14ac:dyDescent="0.25">
      <c r="A25" s="141"/>
    </row>
    <row r="26" spans="1:1" x14ac:dyDescent="0.25">
      <c r="A26" s="141"/>
    </row>
  </sheetData>
  <sheetProtection algorithmName="SHA-512" hashValue="2r9e/B1Oz3q/4LmW5U+XRIqb9BoudLUxiMPzo1cN/2R4z4AOqlJu+9xp2D75R0t/FAUSOhE4rfFy8LGXxtS3Pg==" saltValue="5E1SjCxPqk29nLCmEcEixA==" spinCount="100000" sheet="1" objects="1" scenarios="1"/>
  <phoneticPr fontId="32" type="noConversion"/>
  <pageMargins left="0.7" right="0.7" top="0.75" bottom="0.75" header="0.3" footer="0.3"/>
  <pageSetup orientation="portrait" r:id="rId1"/>
  <ignoredErrors>
    <ignoredError sqref="A1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0"/>
  <sheetViews>
    <sheetView zoomScale="90" zoomScaleNormal="90" workbookViewId="0">
      <selection activeCell="D20" sqref="D20"/>
    </sheetView>
  </sheetViews>
  <sheetFormatPr defaultColWidth="9.109375" defaultRowHeight="13.2" x14ac:dyDescent="0.25"/>
  <cols>
    <col min="1" max="1" width="4.6640625" style="137" customWidth="1"/>
    <col min="2" max="3" width="20.6640625" style="133" customWidth="1"/>
    <col min="4" max="4" width="80.6640625" style="133" customWidth="1"/>
    <col min="5" max="16384" width="9.109375" style="137"/>
  </cols>
  <sheetData>
    <row r="1" spans="2:4" ht="15" customHeight="1" x14ac:dyDescent="0.25"/>
    <row r="2" spans="2:4" s="135" customFormat="1" ht="20.100000000000001" customHeight="1" x14ac:dyDescent="0.25">
      <c r="B2" s="134" t="s">
        <v>103</v>
      </c>
      <c r="C2" s="134" t="s">
        <v>104</v>
      </c>
      <c r="D2" s="134" t="s">
        <v>107</v>
      </c>
    </row>
    <row r="3" spans="2:4" ht="20.100000000000001" customHeight="1" x14ac:dyDescent="0.25">
      <c r="B3" s="136" t="s">
        <v>105</v>
      </c>
      <c r="C3" s="144">
        <v>42156</v>
      </c>
      <c r="D3" s="139" t="s">
        <v>106</v>
      </c>
    </row>
    <row r="4" spans="2:4" ht="20.100000000000001" customHeight="1" x14ac:dyDescent="0.25">
      <c r="B4" s="138"/>
      <c r="C4" s="138"/>
      <c r="D4" s="138"/>
    </row>
    <row r="5" spans="2:4" ht="20.100000000000001" customHeight="1" x14ac:dyDescent="0.25">
      <c r="B5" s="138"/>
      <c r="C5" s="138"/>
      <c r="D5" s="138"/>
    </row>
    <row r="6" spans="2:4" ht="20.100000000000001" customHeight="1" x14ac:dyDescent="0.25">
      <c r="B6" s="138"/>
      <c r="C6" s="138"/>
      <c r="D6" s="138"/>
    </row>
    <row r="7" spans="2:4" ht="20.100000000000001" customHeight="1" x14ac:dyDescent="0.25">
      <c r="B7" s="138"/>
      <c r="C7" s="138"/>
      <c r="D7" s="138"/>
    </row>
    <row r="8" spans="2:4" ht="20.100000000000001" customHeight="1" x14ac:dyDescent="0.25">
      <c r="B8" s="138"/>
      <c r="C8" s="138"/>
      <c r="D8" s="138"/>
    </row>
    <row r="9" spans="2:4" ht="20.100000000000001" customHeight="1" x14ac:dyDescent="0.25">
      <c r="B9" s="138"/>
      <c r="C9" s="138"/>
      <c r="D9" s="138"/>
    </row>
    <row r="10" spans="2:4" ht="20.100000000000001" customHeight="1" x14ac:dyDescent="0.25">
      <c r="B10" s="138"/>
      <c r="C10" s="138"/>
      <c r="D10" s="138"/>
    </row>
  </sheetData>
  <sheetProtection algorithmName="SHA-512" hashValue="UCl44h4HqlXg+5aNy3l04A735Wjz3pzgPRN4dxcruf0d1Zfx2D7d3T1U4skKumjMKbJaAkLynzyJK6YECHIk+Q==" saltValue="O7553sC9BdXTU27sYkbAXg==" spinCount="100000" sheet="1" objects="1" scenarios="1"/>
  <phoneticPr fontId="32" type="noConversion"/>
  <pageMargins left="0.7" right="0.7" top="0.75" bottom="0.75" header="0.3" footer="0.3"/>
  <pageSetup paperSize="9" orientation="portrait" verticalDpi="0" r:id="rId1"/>
  <ignoredErrors>
    <ignoredError sqref="B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7"/>
  <sheetViews>
    <sheetView topLeftCell="A52" zoomScale="90" zoomScaleNormal="90" workbookViewId="0">
      <selection activeCell="S28" sqref="S28"/>
    </sheetView>
  </sheetViews>
  <sheetFormatPr defaultColWidth="9.109375" defaultRowHeight="13.2" x14ac:dyDescent="0.25"/>
  <cols>
    <col min="1" max="29" width="4.6640625" style="126" customWidth="1"/>
    <col min="30" max="30" width="2.6640625" style="126" customWidth="1"/>
    <col min="31" max="16384" width="9.109375" style="126"/>
  </cols>
  <sheetData>
    <row r="1" spans="1:30" ht="12.75" customHeight="1" x14ac:dyDescent="0.3">
      <c r="A1" s="91"/>
      <c r="B1" s="92"/>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row>
    <row r="2" spans="1:30" ht="15.6" x14ac:dyDescent="0.3">
      <c r="A2" s="115"/>
      <c r="B2" s="128" t="s">
        <v>127</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91"/>
    </row>
    <row r="3" spans="1:30" x14ac:dyDescent="0.25">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22"/>
    </row>
    <row r="4" spans="1:30" ht="13.8" x14ac:dyDescent="0.3">
      <c r="A4" s="116"/>
      <c r="B4" s="116" t="s">
        <v>82</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23"/>
    </row>
    <row r="5" spans="1:30" ht="15" x14ac:dyDescent="0.35">
      <c r="A5" s="117"/>
      <c r="B5" s="117"/>
      <c r="C5" s="118" t="s">
        <v>139</v>
      </c>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24"/>
    </row>
    <row r="6" spans="1:30" ht="15" x14ac:dyDescent="0.35">
      <c r="A6" s="117"/>
      <c r="B6" s="117"/>
      <c r="C6" s="118" t="s">
        <v>168</v>
      </c>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24"/>
    </row>
    <row r="7" spans="1:30" ht="14.4" x14ac:dyDescent="0.3">
      <c r="A7" s="117"/>
      <c r="B7" s="117"/>
      <c r="C7" s="118" t="s">
        <v>128</v>
      </c>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24"/>
    </row>
    <row r="8" spans="1:30" ht="14.4" x14ac:dyDescent="0.3">
      <c r="A8" s="117"/>
      <c r="B8" s="117"/>
      <c r="C8" s="118" t="s">
        <v>138</v>
      </c>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24"/>
    </row>
    <row r="9" spans="1:30" ht="14.4" x14ac:dyDescent="0.3">
      <c r="A9" s="117"/>
      <c r="B9" s="117"/>
      <c r="C9" s="118" t="s">
        <v>144</v>
      </c>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24"/>
    </row>
    <row r="10" spans="1:30" ht="14.4" x14ac:dyDescent="0.3">
      <c r="A10" s="117"/>
      <c r="B10" s="117"/>
      <c r="C10" s="159" t="s">
        <v>172</v>
      </c>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17"/>
      <c r="AC10" s="117"/>
      <c r="AD10" s="124"/>
    </row>
    <row r="11" spans="1:30" x14ac:dyDescent="0.25">
      <c r="A11" s="115"/>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22"/>
    </row>
    <row r="12" spans="1:30" ht="15" x14ac:dyDescent="0.35">
      <c r="A12" s="117"/>
      <c r="B12" s="119" t="s">
        <v>137</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24"/>
    </row>
    <row r="13" spans="1:30" ht="15" x14ac:dyDescent="0.35">
      <c r="A13" s="117"/>
      <c r="B13" s="117"/>
      <c r="C13" s="118" t="s">
        <v>134</v>
      </c>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24"/>
    </row>
    <row r="14" spans="1:30" x14ac:dyDescent="0.25">
      <c r="A14" s="11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22"/>
    </row>
    <row r="15" spans="1:30" ht="15" x14ac:dyDescent="0.35">
      <c r="A15" s="117"/>
      <c r="B15" s="119" t="s">
        <v>129</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24"/>
    </row>
    <row r="16" spans="1:30" ht="15" x14ac:dyDescent="0.35">
      <c r="A16" s="117"/>
      <c r="B16" s="117"/>
      <c r="C16" s="118" t="s">
        <v>135</v>
      </c>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24"/>
    </row>
    <row r="17" spans="1:30" ht="14.4" x14ac:dyDescent="0.3">
      <c r="A17" s="117"/>
      <c r="B17" s="117"/>
      <c r="C17" s="118" t="s">
        <v>145</v>
      </c>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24"/>
    </row>
    <row r="18" spans="1:30" ht="14.4" x14ac:dyDescent="0.3">
      <c r="A18" s="115"/>
      <c r="B18" s="117"/>
      <c r="C18" s="118" t="s">
        <v>170</v>
      </c>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22"/>
    </row>
    <row r="19" spans="1:30" ht="15" x14ac:dyDescent="0.35">
      <c r="A19" s="115"/>
      <c r="B19" s="117"/>
      <c r="C19" s="118" t="s">
        <v>175</v>
      </c>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22"/>
    </row>
    <row r="20" spans="1:30" x14ac:dyDescent="0.25">
      <c r="A20" s="115"/>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22"/>
    </row>
    <row r="21" spans="1:30" ht="15" x14ac:dyDescent="0.35">
      <c r="A21" s="115"/>
      <c r="B21" s="119" t="s">
        <v>140</v>
      </c>
      <c r="C21" s="117"/>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22"/>
    </row>
    <row r="22" spans="1:30" ht="13.8" x14ac:dyDescent="0.3">
      <c r="A22" s="115"/>
      <c r="B22" s="119"/>
      <c r="C22" s="118" t="s">
        <v>130</v>
      </c>
      <c r="D22" s="157"/>
      <c r="E22" s="157"/>
      <c r="F22" s="157"/>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22"/>
    </row>
    <row r="23" spans="1:30" ht="14.4" x14ac:dyDescent="0.3">
      <c r="A23" s="115"/>
      <c r="B23" s="117"/>
      <c r="C23" s="118" t="s">
        <v>131</v>
      </c>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22"/>
    </row>
    <row r="24" spans="1:30" ht="14.4" x14ac:dyDescent="0.3">
      <c r="A24" s="115"/>
      <c r="B24" s="117"/>
      <c r="C24" s="118" t="s">
        <v>132</v>
      </c>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22"/>
    </row>
    <row r="25" spans="1:30" ht="14.4" x14ac:dyDescent="0.3">
      <c r="A25" s="115"/>
      <c r="B25" s="117"/>
      <c r="C25" s="118" t="s">
        <v>133</v>
      </c>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22"/>
    </row>
    <row r="26" spans="1:30" x14ac:dyDescent="0.25">
      <c r="A26" s="115"/>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22"/>
    </row>
    <row r="27" spans="1:30" ht="15" x14ac:dyDescent="0.35">
      <c r="A27" s="115"/>
      <c r="B27" s="119" t="s">
        <v>136</v>
      </c>
      <c r="C27" s="117"/>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22"/>
    </row>
    <row r="28" spans="1:30" ht="15" x14ac:dyDescent="0.35">
      <c r="A28" s="115"/>
      <c r="B28" s="117"/>
      <c r="C28" s="118" t="s">
        <v>159</v>
      </c>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22"/>
    </row>
    <row r="29" spans="1:30" x14ac:dyDescent="0.25">
      <c r="A29" s="115"/>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22"/>
    </row>
    <row r="30" spans="1:30" ht="15" x14ac:dyDescent="0.35">
      <c r="A30" s="115"/>
      <c r="B30" s="119" t="s">
        <v>156</v>
      </c>
      <c r="C30" s="117"/>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22"/>
    </row>
    <row r="31" spans="1:30" ht="14.4" x14ac:dyDescent="0.3">
      <c r="A31" s="115"/>
      <c r="B31" s="117"/>
      <c r="C31" s="118" t="s">
        <v>152</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22"/>
    </row>
    <row r="32" spans="1:30" ht="14.4" x14ac:dyDescent="0.3">
      <c r="A32" s="115"/>
      <c r="B32" s="117"/>
      <c r="C32" s="118" t="s">
        <v>153</v>
      </c>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22"/>
    </row>
    <row r="33" spans="1:30" x14ac:dyDescent="0.25">
      <c r="A33" s="11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22"/>
    </row>
    <row r="34" spans="1:30" ht="15" x14ac:dyDescent="0.35">
      <c r="A34" s="115"/>
      <c r="B34" s="119" t="s">
        <v>163</v>
      </c>
      <c r="C34" s="117"/>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22"/>
    </row>
    <row r="35" spans="1:30" ht="15" x14ac:dyDescent="0.35">
      <c r="A35" s="115"/>
      <c r="B35" s="117"/>
      <c r="C35" s="118" t="s">
        <v>159</v>
      </c>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22"/>
    </row>
    <row r="36" spans="1:30" x14ac:dyDescent="0.25">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22"/>
    </row>
    <row r="37" spans="1:30" ht="15" x14ac:dyDescent="0.35">
      <c r="A37" s="115"/>
      <c r="B37" s="119" t="s">
        <v>155</v>
      </c>
      <c r="C37" s="117"/>
      <c r="D37" s="117"/>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22"/>
    </row>
    <row r="38" spans="1:30" ht="14.4" x14ac:dyDescent="0.3">
      <c r="A38" s="115"/>
      <c r="B38" s="117"/>
      <c r="C38" s="118" t="s">
        <v>154</v>
      </c>
      <c r="D38" s="117"/>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22"/>
    </row>
    <row r="39" spans="1:30" x14ac:dyDescent="0.25">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22"/>
    </row>
    <row r="40" spans="1:30" ht="15" x14ac:dyDescent="0.35">
      <c r="A40" s="115"/>
      <c r="B40" s="119" t="s">
        <v>157</v>
      </c>
      <c r="C40" s="117"/>
      <c r="D40" s="117"/>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22"/>
    </row>
    <row r="41" spans="1:30" ht="14.4" x14ac:dyDescent="0.3">
      <c r="A41" s="115"/>
      <c r="B41" s="117"/>
      <c r="C41" s="118" t="s">
        <v>146</v>
      </c>
      <c r="D41" s="117"/>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22"/>
    </row>
    <row r="42" spans="1:30" ht="14.4" x14ac:dyDescent="0.3">
      <c r="A42" s="115"/>
      <c r="B42" s="117"/>
      <c r="C42" s="117"/>
      <c r="D42" s="118" t="s">
        <v>100</v>
      </c>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22"/>
    </row>
    <row r="43" spans="1:30" ht="14.4" x14ac:dyDescent="0.3">
      <c r="A43" s="115"/>
      <c r="B43" s="117"/>
      <c r="C43" s="117"/>
      <c r="D43" s="118" t="s">
        <v>101</v>
      </c>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22"/>
    </row>
    <row r="44" spans="1:30" ht="15" x14ac:dyDescent="0.35">
      <c r="A44" s="115"/>
      <c r="B44" s="117"/>
      <c r="C44" s="117"/>
      <c r="D44" s="118" t="s">
        <v>160</v>
      </c>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22"/>
    </row>
    <row r="45" spans="1:30" ht="15" x14ac:dyDescent="0.35">
      <c r="A45" s="115"/>
      <c r="B45" s="117"/>
      <c r="C45" s="117"/>
      <c r="D45" s="118" t="s">
        <v>161</v>
      </c>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22"/>
    </row>
    <row r="46" spans="1:30" x14ac:dyDescent="0.25">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22"/>
    </row>
    <row r="47" spans="1:30" ht="14.4" x14ac:dyDescent="0.3">
      <c r="A47" s="115"/>
      <c r="B47" s="117"/>
      <c r="C47" s="118" t="s">
        <v>150</v>
      </c>
      <c r="D47" s="117"/>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22"/>
    </row>
    <row r="48" spans="1:30" ht="14.4" x14ac:dyDescent="0.3">
      <c r="A48" s="115"/>
      <c r="B48" s="117"/>
      <c r="C48" s="117"/>
      <c r="D48" s="118" t="s">
        <v>102</v>
      </c>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22"/>
    </row>
    <row r="49" spans="1:30" ht="15" x14ac:dyDescent="0.35">
      <c r="A49" s="115"/>
      <c r="B49" s="117"/>
      <c r="C49" s="117"/>
      <c r="D49" s="118" t="s">
        <v>162</v>
      </c>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22"/>
    </row>
    <row r="50" spans="1:30" x14ac:dyDescent="0.25">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22"/>
    </row>
    <row r="51" spans="1:30" s="127" customFormat="1" x14ac:dyDescent="0.25">
      <c r="A51" s="120"/>
      <c r="B51" s="120" t="s">
        <v>174</v>
      </c>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5"/>
    </row>
    <row r="52" spans="1:30" ht="14.4" x14ac:dyDescent="0.3">
      <c r="A52" s="115"/>
      <c r="B52" s="117"/>
      <c r="C52" s="118" t="s">
        <v>149</v>
      </c>
      <c r="D52" s="117"/>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22"/>
    </row>
    <row r="53" spans="1:30" ht="14.4" x14ac:dyDescent="0.3">
      <c r="A53" s="115"/>
      <c r="B53" s="117"/>
      <c r="C53" s="117"/>
      <c r="D53" s="118" t="s">
        <v>100</v>
      </c>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22"/>
    </row>
    <row r="54" spans="1:30" ht="14.4" x14ac:dyDescent="0.3">
      <c r="A54" s="115"/>
      <c r="B54" s="117"/>
      <c r="C54" s="117"/>
      <c r="D54" s="118" t="s">
        <v>99</v>
      </c>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22"/>
    </row>
    <row r="55" spans="1:30" ht="14.4" x14ac:dyDescent="0.3">
      <c r="A55" s="115"/>
      <c r="B55" s="117"/>
      <c r="C55" s="117"/>
      <c r="D55" s="118" t="s">
        <v>164</v>
      </c>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22"/>
    </row>
    <row r="56" spans="1:30" x14ac:dyDescent="0.25">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22"/>
    </row>
    <row r="57" spans="1:30" ht="14.4" x14ac:dyDescent="0.3">
      <c r="A57" s="115"/>
      <c r="B57" s="117"/>
      <c r="C57" s="118" t="s">
        <v>151</v>
      </c>
      <c r="D57" s="117"/>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22"/>
    </row>
    <row r="58" spans="1:30" ht="14.4" x14ac:dyDescent="0.3">
      <c r="A58" s="115"/>
      <c r="B58" s="117"/>
      <c r="C58" s="117"/>
      <c r="D58" s="118" t="s">
        <v>102</v>
      </c>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22"/>
    </row>
    <row r="59" spans="1:30" x14ac:dyDescent="0.25">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22"/>
    </row>
    <row r="60" spans="1:30" ht="15" x14ac:dyDescent="0.35">
      <c r="A60" s="115"/>
      <c r="B60" s="119" t="s">
        <v>148</v>
      </c>
      <c r="C60" s="119"/>
      <c r="D60" s="119"/>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22"/>
    </row>
    <row r="61" spans="1:30" ht="14.4" x14ac:dyDescent="0.3">
      <c r="A61" s="115"/>
      <c r="B61" s="117"/>
      <c r="C61" s="118" t="s">
        <v>147</v>
      </c>
      <c r="D61" s="117"/>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22"/>
    </row>
    <row r="62" spans="1:30" x14ac:dyDescent="0.25">
      <c r="A62" s="115"/>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22"/>
    </row>
    <row r="63" spans="1:30" ht="15" x14ac:dyDescent="0.35">
      <c r="A63" s="115"/>
      <c r="B63" s="119" t="s">
        <v>166</v>
      </c>
      <c r="C63" s="119"/>
      <c r="D63" s="119"/>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22"/>
    </row>
    <row r="64" spans="1:30" ht="14.4" x14ac:dyDescent="0.3">
      <c r="A64" s="115"/>
      <c r="B64" s="117"/>
      <c r="C64" s="118" t="s">
        <v>158</v>
      </c>
      <c r="D64" s="117"/>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22"/>
    </row>
    <row r="65" spans="1:30" x14ac:dyDescent="0.25">
      <c r="A65" s="115"/>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22"/>
    </row>
    <row r="66" spans="1:30" s="162" customFormat="1" ht="13.8" x14ac:dyDescent="0.3">
      <c r="A66" s="157"/>
      <c r="B66" s="160" t="s">
        <v>173</v>
      </c>
      <c r="C66" s="160"/>
      <c r="D66" s="160"/>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61"/>
    </row>
    <row r="67" spans="1:30" ht="14.4" x14ac:dyDescent="0.3">
      <c r="A67" s="115"/>
      <c r="B67" s="117"/>
      <c r="C67" s="118" t="s">
        <v>171</v>
      </c>
      <c r="D67" s="117"/>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22"/>
    </row>
    <row r="68" spans="1:30" ht="14.4" x14ac:dyDescent="0.3">
      <c r="A68" s="115"/>
      <c r="B68" s="117"/>
      <c r="C68" s="118" t="s">
        <v>165</v>
      </c>
      <c r="D68" s="117"/>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22"/>
    </row>
    <row r="69" spans="1:30" ht="14.4" x14ac:dyDescent="0.3">
      <c r="A69" s="115"/>
      <c r="B69" s="117"/>
      <c r="C69" s="117"/>
      <c r="D69" s="118" t="s">
        <v>169</v>
      </c>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22"/>
    </row>
    <row r="70" spans="1:30" ht="14.4" x14ac:dyDescent="0.3">
      <c r="A70" s="115"/>
      <c r="B70" s="117"/>
      <c r="C70" s="117"/>
      <c r="D70" s="118" t="s">
        <v>167</v>
      </c>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22"/>
    </row>
    <row r="71" spans="1:30" x14ac:dyDescent="0.25">
      <c r="A71" s="115"/>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22"/>
    </row>
    <row r="72" spans="1:30" ht="13.8" x14ac:dyDescent="0.3">
      <c r="A72" s="115"/>
      <c r="B72" s="121" t="s">
        <v>120</v>
      </c>
      <c r="C72" s="121"/>
      <c r="D72" s="121"/>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22"/>
    </row>
    <row r="73" spans="1:30" ht="14.4" x14ac:dyDescent="0.3">
      <c r="A73" s="115"/>
      <c r="B73" s="117"/>
      <c r="C73" s="118" t="s">
        <v>141</v>
      </c>
      <c r="D73" s="117"/>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22"/>
    </row>
    <row r="74" spans="1:30" ht="14.4" x14ac:dyDescent="0.3">
      <c r="A74" s="115"/>
      <c r="B74" s="117"/>
      <c r="C74" s="118" t="s">
        <v>142</v>
      </c>
      <c r="D74" s="117"/>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22"/>
    </row>
    <row r="75" spans="1:30" ht="14.4" x14ac:dyDescent="0.3">
      <c r="A75" s="115"/>
      <c r="B75" s="117"/>
      <c r="C75" s="118" t="s">
        <v>143</v>
      </c>
      <c r="D75" s="117"/>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22"/>
    </row>
    <row r="76" spans="1:30" x14ac:dyDescent="0.25">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22"/>
    </row>
    <row r="77" spans="1:30" x14ac:dyDescent="0.25">
      <c r="A77" s="122"/>
      <c r="B77" s="122"/>
      <c r="C77" s="122"/>
      <c r="D77" s="122"/>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row>
  </sheetData>
  <phoneticPr fontId="32"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43"/>
  <sheetViews>
    <sheetView showGridLines="0" tabSelected="1" topLeftCell="A28" zoomScale="90" zoomScaleNormal="90" workbookViewId="0">
      <selection activeCell="L17" sqref="L17"/>
    </sheetView>
  </sheetViews>
  <sheetFormatPr defaultColWidth="9.109375" defaultRowHeight="10.199999999999999" x14ac:dyDescent="0.25"/>
  <cols>
    <col min="1" max="1" width="0.6640625" style="2" customWidth="1"/>
    <col min="2" max="2" width="11.6640625" style="2" customWidth="1"/>
    <col min="3" max="3" width="8.33203125" style="2" customWidth="1"/>
    <col min="4" max="4" width="0.6640625" style="2" customWidth="1"/>
    <col min="5" max="5" width="11.5546875" style="2" bestFit="1" customWidth="1"/>
    <col min="6" max="6" width="8.44140625" style="2" bestFit="1" customWidth="1"/>
    <col min="7" max="7" width="0.6640625" style="2" customWidth="1"/>
    <col min="8" max="8" width="8.6640625" style="2" customWidth="1"/>
    <col min="9" max="9" width="8.44140625" style="2" bestFit="1" customWidth="1"/>
    <col min="10" max="10" width="0.6640625" style="2" customWidth="1"/>
    <col min="11" max="11" width="11" style="2" bestFit="1" customWidth="1"/>
    <col min="12" max="12" width="9" style="2" customWidth="1"/>
    <col min="13" max="13" width="0.44140625" style="2" customWidth="1"/>
    <col min="14" max="14" width="12.44140625" style="2" bestFit="1" customWidth="1"/>
    <col min="15" max="15" width="8.33203125" style="2" customWidth="1"/>
    <col min="16" max="16" width="0.6640625" style="2" customWidth="1"/>
    <col min="17" max="17" width="12.109375" style="2" bestFit="1" customWidth="1"/>
    <col min="18" max="18" width="8.33203125" style="2" customWidth="1"/>
    <col min="19" max="19" width="0.6640625" style="2" customWidth="1"/>
    <col min="20" max="21" width="8.6640625" style="2" customWidth="1"/>
    <col min="22" max="22" width="0.5546875" style="2" customWidth="1"/>
    <col min="23" max="23" width="14" style="2" customWidth="1"/>
    <col min="24" max="24" width="9.6640625" style="2" customWidth="1"/>
    <col min="25" max="25" width="0.5546875" style="2" customWidth="1"/>
    <col min="26" max="26" width="14.6640625" style="2" bestFit="1" customWidth="1"/>
    <col min="27" max="27" width="10" style="2" bestFit="1" customWidth="1"/>
    <col min="28" max="28" width="0.5546875" style="2" customWidth="1"/>
    <col min="29" max="29" width="14.6640625" style="2" bestFit="1" customWidth="1"/>
    <col min="30" max="30" width="10" style="2" bestFit="1" customWidth="1"/>
    <col min="31" max="31" width="0.5546875" style="2" customWidth="1"/>
    <col min="32" max="32" width="8.109375" style="2" bestFit="1" customWidth="1"/>
    <col min="33" max="33" width="9.5546875" style="2" bestFit="1" customWidth="1"/>
    <col min="34" max="34" width="0.5546875" style="2" customWidth="1"/>
    <col min="35" max="35" width="8.109375" style="2" bestFit="1" customWidth="1"/>
    <col min="36" max="36" width="9.5546875" style="2" bestFit="1" customWidth="1"/>
    <col min="37" max="37" width="0.5546875" style="2" customWidth="1"/>
    <col min="38" max="38" width="13.5546875" style="2" bestFit="1" customWidth="1"/>
    <col min="39" max="39" width="7.33203125" style="2" bestFit="1" customWidth="1"/>
    <col min="40" max="40" width="0.5546875" style="2" customWidth="1"/>
    <col min="41" max="41" width="13.5546875" style="13" bestFit="1" customWidth="1"/>
    <col min="42" max="42" width="7.33203125" style="13" bestFit="1" customWidth="1"/>
    <col min="43" max="43" width="0.5546875" style="2" customWidth="1"/>
    <col min="44" max="16384" width="9.109375" style="2"/>
  </cols>
  <sheetData>
    <row r="1" spans="1:46" ht="12.75" customHeight="1" x14ac:dyDescent="0.25">
      <c r="A1" s="164" t="s">
        <v>115</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row>
    <row r="2" spans="1:46" ht="12.75" customHeight="1" x14ac:dyDescent="0.25">
      <c r="A2" s="165" t="s">
        <v>80</v>
      </c>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row>
    <row r="4" spans="1:46" ht="21.9" customHeight="1" x14ac:dyDescent="0.25">
      <c r="B4" s="169" t="s">
        <v>72</v>
      </c>
      <c r="C4" s="169"/>
      <c r="D4" s="59"/>
      <c r="E4" s="105" t="s">
        <v>92</v>
      </c>
      <c r="F4" s="105" t="s">
        <v>91</v>
      </c>
      <c r="G4" s="55"/>
      <c r="H4" s="148" t="s">
        <v>20</v>
      </c>
      <c r="I4" s="148" t="s">
        <v>26</v>
      </c>
      <c r="K4" s="56" t="s">
        <v>21</v>
      </c>
      <c r="L4" s="76" t="s">
        <v>23</v>
      </c>
      <c r="N4" s="146" t="s">
        <v>119</v>
      </c>
      <c r="O4" s="57"/>
      <c r="P4" s="63"/>
      <c r="Q4" s="110"/>
      <c r="R4" s="57" t="s">
        <v>98</v>
      </c>
      <c r="S4" s="5"/>
      <c r="T4" s="110">
        <v>2</v>
      </c>
      <c r="U4" s="57"/>
      <c r="V4" s="5"/>
      <c r="W4" s="110"/>
      <c r="X4" s="5"/>
      <c r="Y4" s="5"/>
      <c r="Z4" s="110"/>
      <c r="AA4" s="5"/>
      <c r="AB4" s="5"/>
      <c r="AC4" s="5"/>
      <c r="AD4" s="5"/>
      <c r="AE4" s="5"/>
      <c r="AF4" s="5"/>
      <c r="AG4" s="5"/>
      <c r="AH4" s="5"/>
      <c r="AI4" s="5"/>
      <c r="AJ4" s="5"/>
      <c r="AK4" s="5"/>
      <c r="AS4" s="130">
        <v>3.3</v>
      </c>
    </row>
    <row r="5" spans="1:46" ht="15.6" customHeight="1" x14ac:dyDescent="0.25">
      <c r="B5" s="169" t="s">
        <v>73</v>
      </c>
      <c r="C5" s="169"/>
      <c r="D5" s="59"/>
      <c r="E5" s="58">
        <v>2.2000000000000002</v>
      </c>
      <c r="F5" s="106">
        <v>500</v>
      </c>
      <c r="G5" s="59"/>
      <c r="H5" s="149">
        <v>100</v>
      </c>
      <c r="I5" s="150" t="s">
        <v>67</v>
      </c>
      <c r="K5" s="60">
        <v>100</v>
      </c>
      <c r="L5" s="77">
        <v>2</v>
      </c>
      <c r="N5" s="147">
        <v>3</v>
      </c>
      <c r="O5" s="75"/>
      <c r="P5" s="63"/>
      <c r="Q5" s="145"/>
      <c r="R5" s="75" t="s">
        <v>97</v>
      </c>
      <c r="T5" s="112">
        <v>30</v>
      </c>
      <c r="U5" s="75"/>
      <c r="W5" s="145"/>
      <c r="Z5" s="145"/>
      <c r="AS5" s="130">
        <v>5</v>
      </c>
    </row>
    <row r="6" spans="1:46" ht="14.4" customHeight="1" x14ac:dyDescent="0.25">
      <c r="B6" s="169" t="s">
        <v>47</v>
      </c>
      <c r="C6" s="169"/>
      <c r="D6" s="59"/>
      <c r="E6" s="61" t="s">
        <v>67</v>
      </c>
      <c r="F6" s="61" t="s">
        <v>67</v>
      </c>
      <c r="G6" s="59"/>
      <c r="H6" s="149">
        <v>300</v>
      </c>
      <c r="I6" s="149">
        <v>400</v>
      </c>
      <c r="K6" s="62" t="s">
        <v>67</v>
      </c>
      <c r="L6" s="78" t="s">
        <v>67</v>
      </c>
      <c r="N6" s="151" t="s">
        <v>67</v>
      </c>
      <c r="O6" s="75"/>
      <c r="P6" s="63"/>
      <c r="Q6" s="111"/>
      <c r="R6" s="75" t="s">
        <v>96</v>
      </c>
      <c r="S6" s="5"/>
      <c r="T6" s="111">
        <v>150</v>
      </c>
      <c r="U6" s="75"/>
      <c r="V6" s="5"/>
      <c r="W6" s="111"/>
      <c r="X6" s="5"/>
      <c r="Y6" s="5"/>
      <c r="Z6" s="111"/>
      <c r="AA6" s="5"/>
      <c r="AB6" s="5"/>
      <c r="AC6" s="5"/>
      <c r="AS6" s="131" t="s">
        <v>69</v>
      </c>
      <c r="AT6" s="93"/>
    </row>
    <row r="7" spans="1:46" x14ac:dyDescent="0.25">
      <c r="AS7" s="131" t="s">
        <v>70</v>
      </c>
      <c r="AT7" s="93"/>
    </row>
    <row r="8" spans="1:46" ht="15.6" x14ac:dyDescent="0.25">
      <c r="B8" s="3" t="s">
        <v>35</v>
      </c>
      <c r="H8" s="4" t="s">
        <v>74</v>
      </c>
      <c r="Z8" s="5"/>
      <c r="AA8" s="6"/>
      <c r="AB8" s="6"/>
      <c r="AC8" s="6"/>
      <c r="AD8" s="6"/>
      <c r="AE8" s="6"/>
      <c r="AF8" s="6"/>
      <c r="AG8" s="6"/>
      <c r="AH8" s="6"/>
      <c r="AI8" s="174"/>
      <c r="AJ8" s="174"/>
      <c r="AK8" s="174"/>
      <c r="AL8" s="174"/>
      <c r="AM8" s="174"/>
    </row>
    <row r="9" spans="1:46" ht="3.75" customHeight="1" x14ac:dyDescent="0.2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row>
    <row r="10" spans="1:46" s="38" customFormat="1" ht="30" customHeight="1" x14ac:dyDescent="0.25">
      <c r="A10" s="35"/>
      <c r="B10" s="172" t="s">
        <v>79</v>
      </c>
      <c r="C10" s="172"/>
      <c r="D10" s="172"/>
      <c r="E10" s="172"/>
      <c r="F10" s="172"/>
      <c r="G10" s="172"/>
      <c r="H10" s="172"/>
      <c r="I10" s="172"/>
      <c r="J10" s="36"/>
      <c r="K10" s="172" t="s">
        <v>44</v>
      </c>
      <c r="L10" s="172"/>
      <c r="M10" s="36"/>
      <c r="N10" s="175" t="s">
        <v>116</v>
      </c>
      <c r="O10" s="176"/>
      <c r="P10" s="176"/>
      <c r="Q10" s="176"/>
      <c r="R10" s="176"/>
      <c r="S10" s="176"/>
      <c r="T10" s="176"/>
      <c r="U10" s="176"/>
      <c r="V10" s="36"/>
      <c r="W10" s="175" t="s">
        <v>117</v>
      </c>
      <c r="X10" s="176"/>
      <c r="Y10" s="36"/>
      <c r="Z10" s="177" t="s">
        <v>76</v>
      </c>
      <c r="AA10" s="177"/>
      <c r="AB10" s="36"/>
      <c r="AC10" s="178" t="s">
        <v>77</v>
      </c>
      <c r="AD10" s="178"/>
      <c r="AE10" s="36"/>
      <c r="AF10" s="163" t="s">
        <v>118</v>
      </c>
      <c r="AG10" s="163"/>
      <c r="AH10" s="37"/>
      <c r="AI10" s="179" t="s">
        <v>78</v>
      </c>
      <c r="AJ10" s="179"/>
      <c r="AK10" s="37"/>
      <c r="AL10" s="163" t="s">
        <v>122</v>
      </c>
      <c r="AM10" s="163"/>
      <c r="AN10" s="37"/>
      <c r="AO10" s="163" t="s">
        <v>83</v>
      </c>
      <c r="AP10" s="163"/>
      <c r="AQ10" s="37"/>
    </row>
    <row r="11" spans="1:46" ht="3.75" customHeight="1" x14ac:dyDescent="0.25">
      <c r="A11" s="7"/>
      <c r="B11" s="7"/>
      <c r="C11" s="7"/>
      <c r="D11" s="7"/>
      <c r="E11" s="7"/>
      <c r="F11" s="7"/>
      <c r="G11" s="7"/>
      <c r="H11" s="7"/>
      <c r="I11" s="7"/>
      <c r="J11" s="7"/>
      <c r="K11" s="7"/>
      <c r="L11" s="7"/>
      <c r="M11" s="7"/>
      <c r="N11" s="7"/>
      <c r="O11" s="7"/>
      <c r="P11" s="7"/>
      <c r="Q11" s="7"/>
      <c r="R11" s="7"/>
      <c r="S11" s="7"/>
      <c r="T11" s="7"/>
      <c r="U11" s="7"/>
      <c r="V11" s="104"/>
      <c r="W11" s="7"/>
      <c r="X11" s="7"/>
      <c r="Y11" s="7"/>
      <c r="Z11" s="7"/>
      <c r="AA11" s="7"/>
      <c r="AB11" s="7"/>
      <c r="AC11" s="7"/>
      <c r="AD11" s="7"/>
      <c r="AE11" s="7"/>
      <c r="AF11" s="7"/>
      <c r="AG11" s="7"/>
      <c r="AH11" s="7"/>
      <c r="AI11" s="7"/>
      <c r="AJ11" s="7"/>
      <c r="AK11" s="7"/>
      <c r="AL11" s="7"/>
      <c r="AM11" s="7"/>
      <c r="AN11" s="7"/>
      <c r="AO11" s="7"/>
      <c r="AP11" s="7"/>
      <c r="AQ11" s="7"/>
    </row>
    <row r="12" spans="1:46" ht="13.2" customHeight="1" x14ac:dyDescent="0.25">
      <c r="A12" s="7"/>
      <c r="B12" s="170" t="s">
        <v>36</v>
      </c>
      <c r="C12" s="170"/>
      <c r="D12" s="7"/>
      <c r="E12" s="170" t="s">
        <v>31</v>
      </c>
      <c r="F12" s="170"/>
      <c r="G12" s="7"/>
      <c r="H12" s="170" t="s">
        <v>4</v>
      </c>
      <c r="I12" s="170"/>
      <c r="J12" s="7"/>
      <c r="K12" s="171" t="s">
        <v>95</v>
      </c>
      <c r="L12" s="171"/>
      <c r="M12" s="7"/>
      <c r="N12" s="170" t="s">
        <v>36</v>
      </c>
      <c r="O12" s="170"/>
      <c r="P12" s="7"/>
      <c r="Q12" s="170" t="s">
        <v>2</v>
      </c>
      <c r="R12" s="170"/>
      <c r="S12" s="7"/>
      <c r="T12" s="170" t="s">
        <v>4</v>
      </c>
      <c r="U12" s="170"/>
      <c r="V12" s="36"/>
      <c r="W12" s="8" t="s">
        <v>25</v>
      </c>
      <c r="X12" s="79">
        <v>3.3</v>
      </c>
      <c r="Y12" s="7"/>
      <c r="Z12" s="8" t="s">
        <v>20</v>
      </c>
      <c r="AA12" s="79">
        <v>5</v>
      </c>
      <c r="AB12" s="7"/>
      <c r="AC12" s="8" t="s">
        <v>26</v>
      </c>
      <c r="AD12" s="79">
        <v>5</v>
      </c>
      <c r="AE12" s="7"/>
      <c r="AF12" s="8" t="s">
        <v>119</v>
      </c>
      <c r="AG12" s="96">
        <v>3.3</v>
      </c>
      <c r="AH12" s="7"/>
      <c r="AI12" s="8" t="s">
        <v>21</v>
      </c>
      <c r="AJ12" s="66">
        <v>5</v>
      </c>
      <c r="AK12" s="7"/>
      <c r="AL12" s="8" t="s">
        <v>71</v>
      </c>
      <c r="AM12" s="82" t="s">
        <v>69</v>
      </c>
      <c r="AN12" s="7"/>
      <c r="AO12" s="8" t="s">
        <v>71</v>
      </c>
      <c r="AP12" s="82" t="s">
        <v>69</v>
      </c>
      <c r="AQ12" s="7"/>
    </row>
    <row r="13" spans="1:46" ht="13.2" customHeight="1" x14ac:dyDescent="0.25">
      <c r="A13" s="7"/>
      <c r="B13" s="9" t="s">
        <v>0</v>
      </c>
      <c r="C13" s="152">
        <v>47</v>
      </c>
      <c r="D13" s="7"/>
      <c r="E13" s="9" t="s">
        <v>61</v>
      </c>
      <c r="F13" s="46">
        <v>200</v>
      </c>
      <c r="G13" s="7"/>
      <c r="H13" s="8" t="s">
        <v>43</v>
      </c>
      <c r="I13" s="79">
        <v>12</v>
      </c>
      <c r="J13" s="7"/>
      <c r="K13" s="171"/>
      <c r="L13" s="171"/>
      <c r="M13" s="7"/>
      <c r="N13" s="9" t="s">
        <v>0</v>
      </c>
      <c r="O13" s="87">
        <f>Cout_Vpre</f>
        <v>40</v>
      </c>
      <c r="P13" s="7"/>
      <c r="Q13" s="9" t="s">
        <v>61</v>
      </c>
      <c r="R13" s="46">
        <v>200</v>
      </c>
      <c r="S13" s="7"/>
      <c r="T13" s="9" t="s">
        <v>23</v>
      </c>
      <c r="U13" s="10">
        <f>Vout_Vpre</f>
        <v>6.5</v>
      </c>
      <c r="V13" s="36"/>
      <c r="W13" s="8" t="s">
        <v>94</v>
      </c>
      <c r="X13" s="81">
        <v>0</v>
      </c>
      <c r="Y13" s="7"/>
      <c r="Z13" s="8" t="s">
        <v>46</v>
      </c>
      <c r="AA13" s="81">
        <v>70</v>
      </c>
      <c r="AB13" s="7"/>
      <c r="AC13" s="8" t="s">
        <v>38</v>
      </c>
      <c r="AD13" s="65">
        <v>0.7</v>
      </c>
      <c r="AE13" s="7"/>
      <c r="AF13" s="8" t="s">
        <v>49</v>
      </c>
      <c r="AG13" s="81">
        <v>0</v>
      </c>
      <c r="AH13" s="7"/>
      <c r="AI13" s="11" t="s">
        <v>49</v>
      </c>
      <c r="AJ13" s="81">
        <v>30</v>
      </c>
      <c r="AK13" s="7"/>
      <c r="AL13" s="8" t="s">
        <v>52</v>
      </c>
      <c r="AM13" s="129">
        <v>0.5</v>
      </c>
      <c r="AN13" s="7"/>
      <c r="AO13" s="8" t="s">
        <v>85</v>
      </c>
      <c r="AP13" s="129">
        <v>0.5</v>
      </c>
      <c r="AQ13" s="7"/>
    </row>
    <row r="14" spans="1:46" ht="13.2" customHeight="1" x14ac:dyDescent="0.25">
      <c r="A14" s="7"/>
      <c r="B14" s="9" t="s">
        <v>62</v>
      </c>
      <c r="C14" s="88">
        <v>100</v>
      </c>
      <c r="D14" s="7"/>
      <c r="E14" s="9" t="s">
        <v>24</v>
      </c>
      <c r="F14" s="83">
        <v>600</v>
      </c>
      <c r="G14" s="7"/>
      <c r="H14" s="9"/>
      <c r="I14" s="10"/>
      <c r="J14" s="7"/>
      <c r="K14" s="171"/>
      <c r="L14" s="171"/>
      <c r="M14" s="7"/>
      <c r="N14" s="9" t="s">
        <v>62</v>
      </c>
      <c r="O14" s="88">
        <f>ESR_Cout_Vpre</f>
        <v>50</v>
      </c>
      <c r="P14" s="7"/>
      <c r="Q14" s="9" t="s">
        <v>24</v>
      </c>
      <c r="R14" s="83">
        <v>300</v>
      </c>
      <c r="S14" s="7"/>
      <c r="T14" s="9"/>
      <c r="U14" s="10"/>
      <c r="V14" s="36"/>
      <c r="X14" s="12" t="str">
        <f>"( ≤ "&amp;Vcore_Linear_TH&amp;" mA )"</f>
        <v>( ≤ 500 mA )</v>
      </c>
      <c r="Y14" s="7"/>
      <c r="AA14" s="12" t="str">
        <f>"( ≤ "&amp;Vcca_Int_Th&amp;" mA )"</f>
        <v>( ≤ 100 mA )</v>
      </c>
      <c r="AB14" s="7"/>
      <c r="AE14" s="7"/>
      <c r="AH14" s="7"/>
      <c r="AJ14" s="12" t="str">
        <f>"( ≤ "&amp;Vcan_Th&amp;" mA )"</f>
        <v>( ≤ 100 mA )</v>
      </c>
      <c r="AK14" s="7"/>
      <c r="AL14" s="8" t="s">
        <v>53</v>
      </c>
      <c r="AM14" s="129">
        <v>0.5</v>
      </c>
      <c r="AN14" s="7"/>
      <c r="AO14" s="8" t="s">
        <v>86</v>
      </c>
      <c r="AP14" s="129">
        <v>0.5</v>
      </c>
      <c r="AQ14" s="7"/>
    </row>
    <row r="15" spans="1:46" ht="13.2" customHeight="1" x14ac:dyDescent="0.25">
      <c r="A15" s="7"/>
      <c r="B15" s="9" t="s">
        <v>1</v>
      </c>
      <c r="C15" s="87">
        <v>40</v>
      </c>
      <c r="D15" s="7"/>
      <c r="E15" s="9" t="s">
        <v>7</v>
      </c>
      <c r="F15" s="84">
        <v>30</v>
      </c>
      <c r="G15" s="7"/>
      <c r="H15" s="8" t="s">
        <v>23</v>
      </c>
      <c r="I15" s="64">
        <v>6.5</v>
      </c>
      <c r="J15" s="7"/>
      <c r="K15" s="171"/>
      <c r="L15" s="171"/>
      <c r="M15" s="7"/>
      <c r="N15" s="9" t="s">
        <v>1</v>
      </c>
      <c r="O15" s="87">
        <v>20</v>
      </c>
      <c r="P15" s="7"/>
      <c r="Q15" s="9" t="s">
        <v>7</v>
      </c>
      <c r="R15" s="84">
        <v>12</v>
      </c>
      <c r="S15" s="7"/>
      <c r="T15" s="8" t="s">
        <v>25</v>
      </c>
      <c r="U15" s="79">
        <v>1.23</v>
      </c>
      <c r="V15" s="36"/>
      <c r="W15" s="96"/>
      <c r="X15" s="94"/>
      <c r="Y15" s="7"/>
      <c r="AB15" s="7"/>
      <c r="AE15" s="7"/>
      <c r="AH15" s="7"/>
      <c r="AJ15" s="13"/>
      <c r="AK15" s="7"/>
      <c r="AL15" s="9" t="s">
        <v>54</v>
      </c>
      <c r="AM15" s="32">
        <f>CAN_frame_DC*CAN_bit_DC</f>
        <v>0.25</v>
      </c>
      <c r="AN15" s="7"/>
      <c r="AO15" s="9" t="s">
        <v>87</v>
      </c>
      <c r="AP15" s="32">
        <f>LIN_frame_DC*LIN_bit_DC</f>
        <v>0.25</v>
      </c>
      <c r="AQ15" s="7"/>
    </row>
    <row r="16" spans="1:46" ht="13.2" customHeight="1" x14ac:dyDescent="0.25">
      <c r="A16" s="7"/>
      <c r="B16" s="9" t="s">
        <v>63</v>
      </c>
      <c r="C16" s="88">
        <v>50</v>
      </c>
      <c r="D16" s="7"/>
      <c r="E16" s="9" t="s">
        <v>3</v>
      </c>
      <c r="F16" s="84">
        <v>30</v>
      </c>
      <c r="G16" s="7"/>
      <c r="H16" s="9"/>
      <c r="I16" s="132">
        <f>IF(Iout_Vcore=Icore_Linear=0,0,IF(Iout_Vcore=0,Icore_Linear/1000,Pout_Vcore/Vin_Vcore/Efficiency_Vcore))</f>
        <v>8.9822665369084467E-2</v>
      </c>
      <c r="J16" s="7"/>
      <c r="M16" s="7"/>
      <c r="N16" s="9" t="s">
        <v>63</v>
      </c>
      <c r="O16" s="88">
        <v>10</v>
      </c>
      <c r="P16" s="7"/>
      <c r="Q16" s="9" t="s">
        <v>3</v>
      </c>
      <c r="R16" s="84">
        <v>12</v>
      </c>
      <c r="S16" s="7"/>
      <c r="V16" s="36"/>
      <c r="W16" s="6"/>
      <c r="X16" s="100"/>
      <c r="Y16" s="7"/>
      <c r="Z16" s="14" t="s">
        <v>50</v>
      </c>
      <c r="AA16" s="90">
        <v>300</v>
      </c>
      <c r="AB16" s="7"/>
      <c r="AC16" s="14" t="s">
        <v>50</v>
      </c>
      <c r="AD16" s="90">
        <v>300</v>
      </c>
      <c r="AE16" s="7"/>
      <c r="AF16" s="14"/>
      <c r="AG16" s="153"/>
      <c r="AH16" s="7"/>
      <c r="AK16" s="7"/>
      <c r="AL16" s="2" t="s">
        <v>57</v>
      </c>
      <c r="AM16" s="33">
        <v>3</v>
      </c>
      <c r="AN16" s="7"/>
      <c r="AO16" s="2" t="s">
        <v>89</v>
      </c>
      <c r="AP16" s="33">
        <v>1</v>
      </c>
      <c r="AQ16" s="7"/>
    </row>
    <row r="17" spans="1:43" ht="13.2" customHeight="1" x14ac:dyDescent="0.25">
      <c r="A17" s="7"/>
      <c r="B17" s="71" t="s">
        <v>64</v>
      </c>
      <c r="C17" s="86">
        <v>22</v>
      </c>
      <c r="D17" s="7"/>
      <c r="E17" s="9" t="s">
        <v>40</v>
      </c>
      <c r="F17" s="85">
        <v>10</v>
      </c>
      <c r="G17" s="7"/>
      <c r="H17" s="8" t="s">
        <v>42</v>
      </c>
      <c r="I17" s="12">
        <f>Icore+IVpre_adder+(Icca+Icca_PNP+Iaux_PNP+Ican+CAN_Ibus*CAN_traffic_DC+Vout_Vpre*CAN_Icell/1000+Vcan*LIN_ICell/1000)/1000</f>
        <v>0.32284716536908448</v>
      </c>
      <c r="J17" s="7"/>
      <c r="K17" s="11" t="s">
        <v>45</v>
      </c>
      <c r="L17" s="80">
        <v>5.0000000000000001E-3</v>
      </c>
      <c r="M17" s="7"/>
      <c r="N17" s="71" t="s">
        <v>64</v>
      </c>
      <c r="O17" s="86">
        <v>2.2000000000000002</v>
      </c>
      <c r="P17" s="7"/>
      <c r="Q17" s="9" t="s">
        <v>40</v>
      </c>
      <c r="R17" s="85">
        <v>10</v>
      </c>
      <c r="S17" s="7"/>
      <c r="T17" s="8" t="s">
        <v>41</v>
      </c>
      <c r="U17" s="80">
        <v>0.3</v>
      </c>
      <c r="V17" s="36"/>
      <c r="W17" s="97"/>
      <c r="X17" s="101"/>
      <c r="Y17" s="7"/>
      <c r="Z17" s="8" t="s">
        <v>47</v>
      </c>
      <c r="AA17" s="81">
        <v>0</v>
      </c>
      <c r="AB17" s="7"/>
      <c r="AC17" s="8" t="s">
        <v>47</v>
      </c>
      <c r="AD17" s="81">
        <v>128</v>
      </c>
      <c r="AE17" s="7"/>
      <c r="AF17" s="8"/>
      <c r="AG17" s="154"/>
      <c r="AH17" s="7"/>
      <c r="AJ17" s="22"/>
      <c r="AK17" s="7"/>
      <c r="AL17" s="2" t="s">
        <v>55</v>
      </c>
      <c r="AM17" s="34">
        <v>60</v>
      </c>
      <c r="AN17" s="7"/>
      <c r="AO17" s="2" t="s">
        <v>88</v>
      </c>
      <c r="AP17" s="34">
        <v>1000</v>
      </c>
      <c r="AQ17" s="7"/>
    </row>
    <row r="18" spans="1:43" ht="13.2" customHeight="1" x14ac:dyDescent="0.25">
      <c r="A18" s="7"/>
      <c r="B18" s="9" t="s">
        <v>65</v>
      </c>
      <c r="C18" s="88">
        <v>60</v>
      </c>
      <c r="D18" s="7"/>
      <c r="E18" s="9"/>
      <c r="F18" s="13"/>
      <c r="G18" s="7"/>
      <c r="H18" s="9"/>
      <c r="I18" s="13" t="str">
        <f>"( ≤ "&amp;Vpre_TH&amp;" A )"</f>
        <v>( ≤ 2 A )</v>
      </c>
      <c r="J18" s="7"/>
      <c r="K18" s="113" t="s">
        <v>75</v>
      </c>
      <c r="L18" s="12">
        <f>2-Iout_Vpre</f>
        <v>1.6771528346309155</v>
      </c>
      <c r="M18" s="7"/>
      <c r="N18" s="9" t="s">
        <v>65</v>
      </c>
      <c r="O18" s="88">
        <v>20</v>
      </c>
      <c r="P18" s="7"/>
      <c r="R18" s="13"/>
      <c r="S18" s="7"/>
      <c r="T18" s="9"/>
      <c r="U18" s="54" t="str">
        <f>"( ≤ "&amp;Vcore_Th&amp;" A )"</f>
        <v>( ≤ 2.2 A )</v>
      </c>
      <c r="V18" s="36"/>
      <c r="W18" s="98"/>
      <c r="X18" s="102"/>
      <c r="Y18" s="7"/>
      <c r="AA18" s="12" t="str">
        <f>"( ≤ "&amp;Vcca_PNP_Th&amp;" mA )"</f>
        <v>( ≤ 300 mA )</v>
      </c>
      <c r="AB18" s="7"/>
      <c r="AD18" s="12" t="str">
        <f>"( ≤ "&amp;Vaux_PNP_Th&amp;" mA )"</f>
        <v>( ≤ 400 mA )</v>
      </c>
      <c r="AE18" s="7"/>
      <c r="AG18" s="155"/>
      <c r="AH18" s="7"/>
      <c r="AJ18" s="13"/>
      <c r="AK18" s="7"/>
      <c r="AL18" s="2" t="s">
        <v>56</v>
      </c>
      <c r="AM18" s="34">
        <v>45</v>
      </c>
      <c r="AN18" s="7"/>
      <c r="AO18" s="2" t="s">
        <v>84</v>
      </c>
      <c r="AP18" s="34">
        <v>25</v>
      </c>
      <c r="AQ18" s="7"/>
    </row>
    <row r="19" spans="1:43" ht="13.2" customHeight="1" x14ac:dyDescent="0.25">
      <c r="A19" s="7"/>
      <c r="B19" s="9" t="s">
        <v>30</v>
      </c>
      <c r="C19" s="89">
        <v>0.35</v>
      </c>
      <c r="D19" s="7"/>
      <c r="G19" s="7"/>
      <c r="H19" s="9" t="s">
        <v>8</v>
      </c>
      <c r="I19" s="15">
        <v>440</v>
      </c>
      <c r="J19" s="7"/>
      <c r="K19" s="15"/>
      <c r="L19" s="15"/>
      <c r="M19" s="7"/>
      <c r="N19" s="9" t="s">
        <v>30</v>
      </c>
      <c r="O19" s="89">
        <v>0.35</v>
      </c>
      <c r="P19" s="7"/>
      <c r="S19" s="7"/>
      <c r="T19" s="9" t="s">
        <v>8</v>
      </c>
      <c r="U19" s="15">
        <v>2400</v>
      </c>
      <c r="V19" s="36"/>
      <c r="W19" s="99"/>
      <c r="X19" s="103"/>
      <c r="Y19" s="7"/>
      <c r="AB19" s="7"/>
      <c r="AE19" s="7"/>
      <c r="AH19" s="7"/>
      <c r="AK19" s="7"/>
      <c r="AN19" s="7"/>
      <c r="AO19" s="2" t="s">
        <v>90</v>
      </c>
      <c r="AP19" s="95">
        <v>0.4</v>
      </c>
      <c r="AQ19" s="7"/>
    </row>
    <row r="20" spans="1:43" ht="13.2" customHeight="1" x14ac:dyDescent="0.25">
      <c r="A20" s="7"/>
      <c r="B20" s="9"/>
      <c r="C20" s="94"/>
      <c r="D20" s="7"/>
      <c r="G20" s="7"/>
      <c r="H20" s="9"/>
      <c r="I20" s="15"/>
      <c r="J20" s="7"/>
      <c r="K20" s="15"/>
      <c r="L20" s="15"/>
      <c r="M20" s="7"/>
      <c r="N20" s="9"/>
      <c r="O20" s="94"/>
      <c r="P20" s="7"/>
      <c r="S20" s="7"/>
      <c r="T20" s="9"/>
      <c r="U20" s="15"/>
      <c r="V20" s="36"/>
      <c r="W20" s="15"/>
      <c r="X20" s="15"/>
      <c r="Y20" s="7"/>
      <c r="AB20" s="7"/>
      <c r="AE20" s="7"/>
      <c r="AH20" s="7"/>
      <c r="AK20" s="7"/>
      <c r="AL20" s="2" t="s">
        <v>58</v>
      </c>
      <c r="AM20" s="53">
        <f>IF(CAN_SLEEP="Y",0,1000*Vcan/(CAN_Rbus+2*CAN_Rdriver))</f>
        <v>0</v>
      </c>
      <c r="AN20" s="7"/>
      <c r="AO20" s="2" t="s">
        <v>58</v>
      </c>
      <c r="AP20" s="53">
        <f>IF(LIN_Sleep="Y",0,1000*(VSUP-LIN_Diode)/(LIN_pullup+LIN_Rdriver))</f>
        <v>0</v>
      </c>
      <c r="AQ20" s="7"/>
    </row>
    <row r="21" spans="1:43" ht="3.75" customHeight="1" x14ac:dyDescent="0.25">
      <c r="A21" s="7"/>
      <c r="B21" s="7"/>
      <c r="C21" s="7"/>
      <c r="D21" s="7"/>
      <c r="E21" s="7"/>
      <c r="F21" s="7"/>
      <c r="G21" s="7"/>
      <c r="H21" s="7"/>
      <c r="I21" s="7"/>
      <c r="J21" s="7"/>
      <c r="K21" s="7"/>
      <c r="L21" s="7"/>
      <c r="M21" s="7"/>
      <c r="N21" s="7"/>
      <c r="O21" s="7"/>
      <c r="P21" s="7"/>
      <c r="Q21" s="7"/>
      <c r="R21" s="7"/>
      <c r="S21" s="7"/>
      <c r="T21" s="7"/>
      <c r="U21" s="7"/>
      <c r="V21" s="104"/>
      <c r="W21" s="7"/>
      <c r="X21" s="7"/>
      <c r="Y21" s="7"/>
      <c r="Z21" s="7"/>
      <c r="AA21" s="7"/>
      <c r="AB21" s="7"/>
      <c r="AC21" s="7"/>
      <c r="AD21" s="7"/>
      <c r="AE21" s="7"/>
      <c r="AF21" s="7"/>
      <c r="AG21" s="7"/>
      <c r="AH21" s="7"/>
      <c r="AI21" s="7"/>
      <c r="AJ21" s="7"/>
      <c r="AK21" s="7"/>
      <c r="AL21" s="7"/>
      <c r="AM21" s="7"/>
      <c r="AN21" s="7"/>
      <c r="AO21" s="7"/>
      <c r="AP21" s="7"/>
      <c r="AQ21" s="7"/>
    </row>
    <row r="22" spans="1:43" ht="13.2" customHeight="1" x14ac:dyDescent="0.25">
      <c r="A22" s="7"/>
      <c r="B22" s="16" t="s">
        <v>32</v>
      </c>
      <c r="C22" s="17">
        <f>Rdson_Vpre*Iout_Vpre</f>
        <v>64.569433073816896</v>
      </c>
      <c r="D22" s="6"/>
      <c r="E22" s="16" t="s">
        <v>28</v>
      </c>
      <c r="F22" s="1">
        <f>(Vout_Vpre+Vdiode_Vpre)/(VSUP-Vdrop_MOS_Vpre/1000+Vdiode_Vpre)</f>
        <v>0.55757101573965195</v>
      </c>
      <c r="H22" s="16" t="s">
        <v>13</v>
      </c>
      <c r="I22" s="70">
        <f>Vout_Vpre*Iout_Vpre</f>
        <v>2.0985065748990492</v>
      </c>
      <c r="J22" s="7"/>
      <c r="K22" s="18" t="s">
        <v>13</v>
      </c>
      <c r="L22" s="19">
        <f>Vout_Vpre*IVpre_adder</f>
        <v>3.2500000000000001E-2</v>
      </c>
      <c r="M22" s="7"/>
      <c r="N22" s="16" t="s">
        <v>32</v>
      </c>
      <c r="O22" s="17">
        <f>Rdson_Vcore*Iout_Vcore</f>
        <v>60</v>
      </c>
      <c r="P22" s="6"/>
      <c r="Q22" s="16" t="s">
        <v>34</v>
      </c>
      <c r="R22" s="1">
        <f>(Vout_Vcore+Vdiode_Vcore)/(Vin_Vcore-Vdrop_MOS_Vcore/1000+Vdiode_Vcore)</f>
        <v>0.23269513991163476</v>
      </c>
      <c r="S22" s="6"/>
      <c r="T22" s="16" t="s">
        <v>13</v>
      </c>
      <c r="U22" s="70">
        <f>Vout_Vcore*Iout_Vcore</f>
        <v>0.36899999999999999</v>
      </c>
      <c r="V22" s="107"/>
      <c r="W22" s="8" t="s">
        <v>13</v>
      </c>
      <c r="X22" s="19">
        <f>Vcore_Linear*Icore_Linear/1000</f>
        <v>0</v>
      </c>
      <c r="Y22" s="7"/>
      <c r="Z22" s="8" t="s">
        <v>13</v>
      </c>
      <c r="AA22" s="19">
        <f>Vcca*Icca/1000+Vcca*Icca_PNP/1000</f>
        <v>0.35</v>
      </c>
      <c r="AB22" s="7"/>
      <c r="AC22" s="8" t="s">
        <v>13</v>
      </c>
      <c r="AD22" s="19">
        <f>Vaux*Iaux_PNP/1000</f>
        <v>0.64</v>
      </c>
      <c r="AE22" s="7"/>
      <c r="AF22" s="8" t="s">
        <v>13</v>
      </c>
      <c r="AG22" s="156">
        <f>VKAM*Ikam</f>
        <v>0</v>
      </c>
      <c r="AH22" s="7"/>
      <c r="AI22" s="8" t="s">
        <v>13</v>
      </c>
      <c r="AJ22" s="19">
        <f>Vcan*Ican/1000</f>
        <v>0.15</v>
      </c>
      <c r="AK22" s="7"/>
      <c r="AL22" s="8" t="s">
        <v>123</v>
      </c>
      <c r="AM22" s="19">
        <f>Vcan*CAN_Ibus/1000*CAN_traffic_DC</f>
        <v>0</v>
      </c>
      <c r="AN22" s="7"/>
      <c r="AO22" s="2"/>
      <c r="AP22" s="2"/>
      <c r="AQ22" s="7"/>
    </row>
    <row r="23" spans="1:43" ht="13.2" customHeight="1" x14ac:dyDescent="0.25">
      <c r="A23" s="7"/>
      <c r="C23" s="13"/>
      <c r="E23" s="20"/>
      <c r="F23" s="13"/>
      <c r="J23" s="7"/>
      <c r="K23" s="21"/>
      <c r="L23" s="21"/>
      <c r="M23" s="7"/>
      <c r="V23" s="104"/>
      <c r="W23" s="8" t="s">
        <v>15</v>
      </c>
      <c r="X23" s="22">
        <f>(Vout_Vpre-Vcore_Linear)*Icore_Linear/1000</f>
        <v>0</v>
      </c>
      <c r="Y23" s="7"/>
      <c r="Z23" s="8" t="s">
        <v>15</v>
      </c>
      <c r="AA23" s="22">
        <f>(Vout_Vpre-Vcca)*Icca/1000+(Vout_Vpre*Icca_PNP/Beta_Vcca/1000)</f>
        <v>0.105</v>
      </c>
      <c r="AB23" s="7"/>
      <c r="AC23" s="8" t="s">
        <v>15</v>
      </c>
      <c r="AD23" s="22">
        <f>Vout_Vpre*Iaux_PNP/Beta_Vaux/1000+Ron_Vaux*Iaux_PNP*Iaux_PNP/1000000</f>
        <v>1.4242133333333334E-2</v>
      </c>
      <c r="AE23" s="7"/>
      <c r="AF23" s="8" t="s">
        <v>15</v>
      </c>
      <c r="AG23" s="22">
        <f>(VSUP-VKAM)*Ikam/1000</f>
        <v>0</v>
      </c>
      <c r="AH23" s="7"/>
      <c r="AI23" s="8" t="s">
        <v>15</v>
      </c>
      <c r="AJ23" s="22">
        <f>(Vout_Vpre-Vcan)*Ican/1000</f>
        <v>4.4999999999999998E-2</v>
      </c>
      <c r="AK23" s="7"/>
      <c r="AL23" s="8" t="s">
        <v>15</v>
      </c>
      <c r="AM23" s="22">
        <f>IF(CAN_SLEEP="Y",0,Vout_Vpre*CAN_Icell/1000+CAN_traffic_DC*2*CAN_Rdriver*POWER(CAN_Ibus/1000,2)+CAN_traffic_DC*(Vout_Vpre-Vcan)*CAN_Ibus/1000)</f>
        <v>0</v>
      </c>
      <c r="AN23" s="7"/>
      <c r="AO23" s="8" t="s">
        <v>15</v>
      </c>
      <c r="AP23" s="22">
        <f>IF(LIN_Sleep="Y",0,Vcan*LIN_ICell/1000+LIN_traffic_DC*LIN_Rdriver*POWER(LIN_Ibus/1000,2))</f>
        <v>0</v>
      </c>
      <c r="AQ23" s="7"/>
    </row>
    <row r="24" spans="1:43" ht="13.2" customHeight="1" x14ac:dyDescent="0.25">
      <c r="A24" s="7"/>
      <c r="B24" s="16" t="s">
        <v>10</v>
      </c>
      <c r="E24" s="16" t="s">
        <v>5</v>
      </c>
      <c r="F24" s="23">
        <f>1000*duty_cycle_Vpre/fsw_Vpre</f>
        <v>1.2672068539537542</v>
      </c>
      <c r="J24" s="7"/>
      <c r="K24" s="21"/>
      <c r="L24" s="21"/>
      <c r="M24" s="7"/>
      <c r="N24" s="16" t="s">
        <v>10</v>
      </c>
      <c r="O24" s="13"/>
      <c r="Q24" s="16" t="s">
        <v>5</v>
      </c>
      <c r="R24" s="23">
        <f>1000*duty_cycle_Vcore/fsw_Vcore</f>
        <v>9.6956308296514485E-2</v>
      </c>
      <c r="V24" s="104"/>
      <c r="W24" s="24" t="s">
        <v>22</v>
      </c>
      <c r="X24" s="50" t="str">
        <f>IF(Icore_Linear=0,"-",(Pout_Vcore_Linear/(Pdis_Vcore_Linear+Pout_Vcore_Linear)))</f>
        <v>-</v>
      </c>
      <c r="Y24" s="7"/>
      <c r="Z24" s="24" t="s">
        <v>22</v>
      </c>
      <c r="AA24" s="50">
        <f>IF((Icca+Icca_PNP)=0,"-",(Pout_cca/(Pdis_cca+Pout_cca)))</f>
        <v>0.76923076923076927</v>
      </c>
      <c r="AB24" s="7"/>
      <c r="AC24" s="24" t="s">
        <v>22</v>
      </c>
      <c r="AD24" s="50">
        <f>IF(Iaux_PNP=0,"-",(Pout_aux/(Pdis_aux+Pout_aux)))</f>
        <v>0.97823109731442959</v>
      </c>
      <c r="AE24" s="7"/>
      <c r="AF24" s="24" t="s">
        <v>22</v>
      </c>
      <c r="AG24" s="50" t="str">
        <f>IF(Ikam=0,"-",(Pout_kam/1000/(Pdis_kam+Pout_kam/1000)))</f>
        <v>-</v>
      </c>
      <c r="AH24" s="7"/>
      <c r="AI24" s="24" t="s">
        <v>22</v>
      </c>
      <c r="AJ24" s="50">
        <f>IF(Ican=0,"-",(Pout_can/(Pdis_can+Pout_can)))</f>
        <v>0.76923076923076916</v>
      </c>
      <c r="AK24" s="7"/>
      <c r="AL24" s="24" t="s">
        <v>22</v>
      </c>
      <c r="AM24" s="50" t="str">
        <f>IF(CAN_Ibus=0,"-",(Pout_can_PHY/(Pdis_CAN_PHY+Pout_can_PHY)))</f>
        <v>-</v>
      </c>
      <c r="AN24" s="7"/>
      <c r="AO24" s="2"/>
      <c r="AP24" s="2"/>
      <c r="AQ24" s="7"/>
    </row>
    <row r="25" spans="1:43" ht="13.2" customHeight="1" x14ac:dyDescent="0.25">
      <c r="A25" s="7"/>
      <c r="B25" s="16" t="s">
        <v>18</v>
      </c>
      <c r="C25" s="22">
        <f>duty_cycle_Vpre*Iout_Vpre*Iout_Vpre*Rdson_Vpre/1000</f>
        <v>1.1623157977092867E-2</v>
      </c>
      <c r="E25" s="16" t="s">
        <v>9</v>
      </c>
      <c r="F25" s="23">
        <f>1000*(1-duty_cycle_Vpre)/fsw_Vpre</f>
        <v>1.0055204187735183</v>
      </c>
      <c r="J25" s="7"/>
      <c r="K25" s="21"/>
      <c r="L25" s="21"/>
      <c r="M25" s="7"/>
      <c r="N25" s="16" t="s">
        <v>18</v>
      </c>
      <c r="O25" s="22">
        <f>duty_cycle_Vcore*Iout_Vcore*Iout_Vcore*Rdson_Vcore/1000</f>
        <v>4.1885125184094258E-3</v>
      </c>
      <c r="Q25" s="16" t="s">
        <v>9</v>
      </c>
      <c r="R25" s="23">
        <f>1000*(1-duty_cycle_Vcore)/fsw_Vcore</f>
        <v>0.31971035837015216</v>
      </c>
      <c r="V25" s="104"/>
      <c r="Y25" s="7"/>
      <c r="Z25" s="25"/>
      <c r="AA25" s="25"/>
      <c r="AB25" s="7"/>
      <c r="AC25" s="25"/>
      <c r="AE25" s="7"/>
      <c r="AF25" s="25"/>
      <c r="AH25" s="7"/>
      <c r="AK25" s="7"/>
      <c r="AN25" s="7"/>
      <c r="AO25" s="2"/>
      <c r="AP25" s="2"/>
      <c r="AQ25" s="7"/>
    </row>
    <row r="26" spans="1:43" ht="13.2" customHeight="1" x14ac:dyDescent="0.25">
      <c r="A26" s="7"/>
      <c r="B26" s="16" t="s">
        <v>19</v>
      </c>
      <c r="C26" s="22">
        <f>0.000001*VSUP*fsw_Vpre*Iout_Vpre*(tswon_Vpre+tswoff_Vpre)/2+0.000000001*Cg_Vpre*Overdrive_Vpre*Overdrive_Vpre*fsw_Vpre</f>
        <v>7.7538990994462986E-2</v>
      </c>
      <c r="E26" s="26"/>
      <c r="J26" s="7"/>
      <c r="K26" s="21"/>
      <c r="L26" s="21"/>
      <c r="M26" s="7"/>
      <c r="N26" s="16" t="s">
        <v>19</v>
      </c>
      <c r="O26" s="22">
        <f>IF(Iout_Vcore=0,0,0.000001*Vin_Vcore*fsw_Vcore*Iout_Vcore*(tswon_Vcore+tswoff_Vcore)/2+0.000000001*Cg_Vcore*Overdrive_Vcore*Overdrive_Vcore*fsw_Vcore)</f>
        <v>0.12816</v>
      </c>
      <c r="V26" s="104"/>
      <c r="Y26" s="7"/>
      <c r="AB26" s="7"/>
      <c r="AE26" s="7"/>
      <c r="AH26" s="7"/>
      <c r="AK26" s="7"/>
      <c r="AN26" s="7"/>
      <c r="AO26" s="2"/>
      <c r="AP26" s="2"/>
      <c r="AQ26" s="7"/>
    </row>
    <row r="27" spans="1:43" ht="3" customHeight="1" x14ac:dyDescent="0.25">
      <c r="A27" s="7"/>
      <c r="B27" s="16"/>
      <c r="C27" s="22"/>
      <c r="E27" s="26"/>
      <c r="J27" s="7"/>
      <c r="K27" s="104"/>
      <c r="L27" s="104"/>
      <c r="M27" s="7"/>
      <c r="N27" s="16"/>
      <c r="O27" s="22"/>
      <c r="V27" s="104"/>
      <c r="W27" s="104"/>
      <c r="X27" s="104"/>
      <c r="Y27" s="7"/>
      <c r="Z27" s="7"/>
      <c r="AA27" s="7"/>
      <c r="AB27" s="7"/>
      <c r="AC27" s="7"/>
      <c r="AD27" s="7"/>
      <c r="AE27" s="7"/>
      <c r="AF27" s="7"/>
      <c r="AG27" s="7"/>
      <c r="AH27" s="7"/>
      <c r="AI27" s="7"/>
      <c r="AJ27" s="7"/>
      <c r="AK27" s="7"/>
      <c r="AL27" s="7"/>
      <c r="AM27" s="7"/>
      <c r="AN27" s="7"/>
      <c r="AO27" s="7"/>
      <c r="AP27" s="7"/>
      <c r="AQ27" s="7"/>
    </row>
    <row r="28" spans="1:43" ht="13.2" customHeight="1" x14ac:dyDescent="0.25">
      <c r="A28" s="7"/>
      <c r="B28" s="16" t="s">
        <v>27</v>
      </c>
      <c r="C28" s="22">
        <f>(1-duty_cycle_Vpre)*Iout_Vpre*Vdiode_Vpre</f>
        <v>4.9992930205951823E-2</v>
      </c>
      <c r="E28" s="16"/>
      <c r="F28" s="27"/>
      <c r="J28" s="7"/>
      <c r="K28" s="42"/>
      <c r="L28" s="42"/>
      <c r="M28" s="7"/>
      <c r="N28" s="16" t="s">
        <v>27</v>
      </c>
      <c r="O28" s="22">
        <f>(1-duty_cycle_Vcore)*Iout_Vcore*Vdiode_Vcore</f>
        <v>8.0567010309278334E-2</v>
      </c>
      <c r="V28" s="104"/>
      <c r="W28" s="42"/>
      <c r="X28" s="114"/>
      <c r="Y28" s="114"/>
      <c r="Z28" s="173" t="s">
        <v>60</v>
      </c>
      <c r="AA28" s="173"/>
      <c r="AB28" s="173"/>
      <c r="AC28" s="173"/>
      <c r="AD28" s="39"/>
      <c r="AE28" s="39"/>
      <c r="AF28" s="47" t="s">
        <v>66</v>
      </c>
      <c r="AG28" s="52" t="s">
        <v>68</v>
      </c>
      <c r="AH28" s="39"/>
      <c r="AI28" s="39"/>
      <c r="AJ28" s="39"/>
      <c r="AK28" s="39"/>
      <c r="AL28" s="39"/>
      <c r="AM28" s="39"/>
      <c r="AN28" s="39"/>
      <c r="AO28" s="39"/>
      <c r="AP28" s="39"/>
      <c r="AQ28" s="7"/>
    </row>
    <row r="29" spans="1:43" ht="13.2" customHeight="1" x14ac:dyDescent="0.25">
      <c r="A29" s="7"/>
      <c r="B29" s="16" t="s">
        <v>11</v>
      </c>
      <c r="C29" s="22">
        <f>I_Cout_rms_Vpre*I_Cout_rms_Vpre*ESR_Cout_Vpre/1000</f>
        <v>4.0841936694290627E-4</v>
      </c>
      <c r="E29" s="16" t="s">
        <v>29</v>
      </c>
      <c r="F29" s="27">
        <f>Delta_IL_Vpre/2/SQRT(3)</f>
        <v>9.0379131102584317E-2</v>
      </c>
      <c r="J29" s="7"/>
      <c r="K29" s="42"/>
      <c r="L29" s="42"/>
      <c r="M29" s="7"/>
      <c r="N29" s="16" t="s">
        <v>11</v>
      </c>
      <c r="O29" s="22">
        <f>I_Cout_rms_Vcore*I_Cout_rms_Vcore*ESR_Cout_Vcore/1000</f>
        <v>4.3934023787057654E-5</v>
      </c>
      <c r="Q29" s="16" t="s">
        <v>29</v>
      </c>
      <c r="R29" s="27">
        <f>Delta_IL_Vcore/2/SQRT(3)</f>
        <v>6.6282745708862764E-2</v>
      </c>
      <c r="V29" s="104"/>
      <c r="W29" s="42"/>
      <c r="X29" s="42"/>
      <c r="Y29" s="42"/>
      <c r="Z29" s="42"/>
      <c r="AA29" s="39"/>
      <c r="AB29" s="39"/>
      <c r="AC29" s="39"/>
      <c r="AD29" s="39"/>
      <c r="AE29" s="40" t="s">
        <v>23</v>
      </c>
      <c r="AF29" s="41">
        <f>Pdis_IC_Vpre</f>
        <v>8.916214897155586E-2</v>
      </c>
      <c r="AG29" s="49">
        <f>Efficiency_Vpre</f>
        <v>0.93482425729123564</v>
      </c>
      <c r="AH29" s="39"/>
      <c r="AI29" s="39"/>
      <c r="AJ29" s="39"/>
      <c r="AK29" s="39"/>
      <c r="AL29" s="39"/>
      <c r="AM29" s="39"/>
      <c r="AN29" s="39"/>
      <c r="AO29" s="39"/>
      <c r="AP29" s="39"/>
      <c r="AQ29" s="7"/>
    </row>
    <row r="30" spans="1:43" ht="13.2" customHeight="1" x14ac:dyDescent="0.25">
      <c r="A30" s="7"/>
      <c r="B30" s="16" t="s">
        <v>12</v>
      </c>
      <c r="C30" s="22">
        <f>I_L_rms_Vpre*I_L_rms_Vpre*dcr_Vpre/1000</f>
        <v>6.743920771542667E-3</v>
      </c>
      <c r="E30" s="16" t="s">
        <v>37</v>
      </c>
      <c r="F30" s="27">
        <f>SQRT(Iout_Vpre*Iout_Vpre+Delta_IL_Vpre*Delta_IL_Vpre/12)</f>
        <v>0.335259122956723</v>
      </c>
      <c r="J30" s="7"/>
      <c r="K30" s="42"/>
      <c r="L30" s="42"/>
      <c r="M30" s="7"/>
      <c r="N30" s="16" t="s">
        <v>12</v>
      </c>
      <c r="O30" s="22">
        <f>I_L_rms_Vcore*I_L_rms_Vcore*dcr_Vcore/1000</f>
        <v>1.8878680475741154E-3</v>
      </c>
      <c r="Q30" s="16" t="s">
        <v>37</v>
      </c>
      <c r="R30" s="27">
        <f>SQRT(Iout_Vcore*Iout_Vcore+Delta_IL_Vcore*Delta_IL_Vcore/12)</f>
        <v>0.30723509301299839</v>
      </c>
      <c r="V30" s="104"/>
      <c r="W30" s="42"/>
      <c r="X30" s="42"/>
      <c r="Y30" s="42"/>
      <c r="Z30" s="39"/>
      <c r="AA30" s="39"/>
      <c r="AB30" s="39"/>
      <c r="AC30" s="39"/>
      <c r="AD30" s="39"/>
      <c r="AE30" s="40" t="s">
        <v>25</v>
      </c>
      <c r="AF30" s="41">
        <f>Pdis_IC_Vcore</f>
        <v>0.13234851251840943</v>
      </c>
      <c r="AG30" s="48">
        <f>Efficiency_Vcore</f>
        <v>0.63201454260975243</v>
      </c>
      <c r="AH30" s="39"/>
      <c r="AI30" s="39"/>
      <c r="AJ30" s="39"/>
      <c r="AK30" s="39"/>
      <c r="AL30" s="39"/>
      <c r="AM30" s="39"/>
      <c r="AN30" s="39"/>
      <c r="AO30" s="39"/>
      <c r="AP30" s="39"/>
      <c r="AQ30" s="7"/>
    </row>
    <row r="31" spans="1:43" ht="13.2" customHeight="1" thickBot="1" x14ac:dyDescent="0.3">
      <c r="A31" s="7"/>
      <c r="J31" s="7"/>
      <c r="K31" s="42"/>
      <c r="L31" s="42"/>
      <c r="M31" s="7"/>
      <c r="N31" s="16"/>
      <c r="O31" s="22"/>
      <c r="Q31" s="16"/>
      <c r="R31" s="23"/>
      <c r="V31" s="104"/>
      <c r="W31" s="42"/>
      <c r="X31" s="42"/>
      <c r="Y31" s="42"/>
      <c r="Z31" s="39"/>
      <c r="AA31" s="39"/>
      <c r="AB31" s="39"/>
      <c r="AC31" s="39"/>
      <c r="AD31" s="40"/>
      <c r="AE31" s="40" t="s">
        <v>93</v>
      </c>
      <c r="AF31" s="41">
        <f>Pdis_Vcore_Linear</f>
        <v>0</v>
      </c>
      <c r="AG31" s="48" t="str">
        <f>Eff_Vcore_Linear</f>
        <v>-</v>
      </c>
      <c r="AH31" s="39"/>
      <c r="AI31" s="39"/>
      <c r="AJ31" s="39"/>
      <c r="AK31" s="39"/>
      <c r="AL31" s="39"/>
      <c r="AM31" s="39"/>
      <c r="AN31" s="39"/>
      <c r="AO31" s="39"/>
      <c r="AP31" s="39"/>
      <c r="AQ31" s="7"/>
    </row>
    <row r="32" spans="1:43" ht="13.2" customHeight="1" thickBot="1" x14ac:dyDescent="0.3">
      <c r="A32" s="7"/>
      <c r="B32" s="16" t="s">
        <v>14</v>
      </c>
      <c r="C32" s="22">
        <f>P_cond_Vpre+P_sw_Vpre+P_Cin_Vpre+P_diode_Vpre+P_Cout_Vpre+P_L_Vpre</f>
        <v>0.14630741931599328</v>
      </c>
      <c r="E32" s="28" t="s">
        <v>16</v>
      </c>
      <c r="F32" s="12">
        <f>1000*(VSUP - Vout_Vpre-Vdrop_MOS_Vpre/1000)*duty_cycle_Vpre/fsw_Vpre/L_Vpre</f>
        <v>0.31308249402720917</v>
      </c>
      <c r="H32" s="74" t="str">
        <f>IF(Iout_Vpre&gt;Delta_IL_Vpre/2,"CCM","DCM")</f>
        <v>CCM</v>
      </c>
      <c r="J32" s="7"/>
      <c r="K32" s="42"/>
      <c r="L32" s="42"/>
      <c r="M32" s="7"/>
      <c r="N32" s="16" t="s">
        <v>14</v>
      </c>
      <c r="O32" s="22">
        <f>P_cond_Vcore+P_sw_Vcore+P_Cin_Vcore+P_diode_Vcore+P_Cout_Vcore+P_L_Vcore</f>
        <v>0.21484732489904895</v>
      </c>
      <c r="Q32" s="28" t="s">
        <v>16</v>
      </c>
      <c r="R32" s="12">
        <f>IF(Iout_Vcore=0,0,1000*(Vin_Vcore - Vout_Vcore-Vdrop_MOS_Vcore/1000)*duty_cycle_Vcore/fsw_Vcore/L_Vcore)</f>
        <v>0.22961016646583654</v>
      </c>
      <c r="T32" s="74" t="str">
        <f>IF(Iout_Vcore&gt;Delta_IL_Vcore/2,"CCM","DCM")</f>
        <v>CCM</v>
      </c>
      <c r="V32" s="104"/>
      <c r="W32" s="42"/>
      <c r="X32" s="42"/>
      <c r="Y32" s="42"/>
      <c r="Z32" s="39"/>
      <c r="AA32" s="39"/>
      <c r="AB32" s="39"/>
      <c r="AC32" s="39"/>
      <c r="AD32" s="39"/>
      <c r="AE32" s="40" t="s">
        <v>20</v>
      </c>
      <c r="AF32" s="41">
        <f>Pdis_cca</f>
        <v>0.105</v>
      </c>
      <c r="AG32" s="48">
        <f>Eff_Vcca</f>
        <v>0.76923076923076927</v>
      </c>
      <c r="AH32" s="39"/>
      <c r="AI32" s="39"/>
      <c r="AJ32" s="39"/>
      <c r="AK32" s="39"/>
      <c r="AL32" s="39"/>
      <c r="AM32" s="39"/>
      <c r="AN32" s="39"/>
      <c r="AO32" s="39"/>
      <c r="AP32" s="39"/>
      <c r="AQ32" s="7"/>
    </row>
    <row r="33" spans="1:43" ht="13.2" customHeight="1" x14ac:dyDescent="0.25">
      <c r="A33" s="7"/>
      <c r="B33" s="16" t="s">
        <v>15</v>
      </c>
      <c r="C33" s="22">
        <f>P_cond_Vpre+P_sw_Vpre</f>
        <v>8.916214897155586E-2</v>
      </c>
      <c r="E33" s="16" t="s">
        <v>6</v>
      </c>
      <c r="F33" s="12">
        <f>Iout_Vpre+Delta_IL_Vpre/2</f>
        <v>0.47938841238268903</v>
      </c>
      <c r="H33" s="6"/>
      <c r="I33" s="6"/>
      <c r="J33" s="7"/>
      <c r="K33" s="42"/>
      <c r="L33" s="42"/>
      <c r="M33" s="7"/>
      <c r="N33" s="16" t="s">
        <v>15</v>
      </c>
      <c r="O33" s="22">
        <f>P_cond_Vcore+P_sw_Vcore</f>
        <v>0.13234851251840943</v>
      </c>
      <c r="Q33" s="16" t="s">
        <v>6</v>
      </c>
      <c r="R33" s="12">
        <f>Iout_Vcore+Delta_IL_Vcore/2</f>
        <v>0.41480508323291826</v>
      </c>
      <c r="V33" s="104"/>
      <c r="W33" s="42"/>
      <c r="X33" s="42"/>
      <c r="Y33" s="42"/>
      <c r="Z33" s="39"/>
      <c r="AA33" s="39"/>
      <c r="AB33" s="39"/>
      <c r="AC33" s="39"/>
      <c r="AD33" s="39"/>
      <c r="AE33" s="40" t="s">
        <v>26</v>
      </c>
      <c r="AF33" s="41">
        <f>Pdis_aux</f>
        <v>1.4242133333333334E-2</v>
      </c>
      <c r="AG33" s="49">
        <f>Eff_Vaux</f>
        <v>0.97823109731442959</v>
      </c>
      <c r="AH33" s="39"/>
      <c r="AI33" s="39"/>
      <c r="AJ33" s="39"/>
      <c r="AK33" s="39"/>
      <c r="AL33" s="39"/>
      <c r="AM33" s="39"/>
      <c r="AN33" s="39"/>
      <c r="AO33" s="39"/>
      <c r="AP33" s="39"/>
      <c r="AQ33" s="7"/>
    </row>
    <row r="34" spans="1:43" ht="13.2" customHeight="1" x14ac:dyDescent="0.25">
      <c r="A34" s="7"/>
      <c r="B34" s="29" t="s">
        <v>17</v>
      </c>
      <c r="C34" s="1">
        <f>Pout_Vpre/(Pout_Vpre+Pdis_tot_Vpre)</f>
        <v>0.93482425729123564</v>
      </c>
      <c r="E34" s="16" t="s">
        <v>33</v>
      </c>
      <c r="F34" s="30">
        <f>1000*(((VSUP-Vout_Vpre-Vdrop_MOS_Vpre*0.001)*1000000/2/Cout_Vpre/L_Vpre*duty_cycle_Vpre*duty_cycle_Vpre/fsw_Vpre/fsw_Vpre)+Delta_IL_Vpre*ESR_Cout_Vpre*0.001)</f>
        <v>20.613378229913142</v>
      </c>
      <c r="H34" s="6"/>
      <c r="I34" s="6"/>
      <c r="J34" s="7"/>
      <c r="K34" s="42"/>
      <c r="L34" s="42"/>
      <c r="M34" s="7"/>
      <c r="N34" s="29" t="s">
        <v>39</v>
      </c>
      <c r="O34" s="1">
        <f>IF(Iout_Vcore=0,"-",Pout_Vcore/(Pout_Vcore+Pdis_tot_Vcore))</f>
        <v>0.63201454260975243</v>
      </c>
      <c r="Q34" s="16" t="s">
        <v>33</v>
      </c>
      <c r="R34" s="30">
        <f>IF(Iout_Vcore=0,0,1000*(((Vin_Vcore-Vout_Vcore-Vdrop_MOS_Vcore*0.001)*1000000/2/Cout_Vcore/L_Vcore*duty_cycle_Vcore*duty_cycle_Vcore/fsw_Vcore/fsw_Vcore)+Delta_IL_Vcore*ESR_Cout_Vcore*0.001))</f>
        <v>2.8526555168552568</v>
      </c>
      <c r="V34" s="104"/>
      <c r="W34" s="42"/>
      <c r="X34" s="42"/>
      <c r="Y34" s="42"/>
      <c r="Z34" s="39"/>
      <c r="AA34" s="39"/>
      <c r="AB34" s="39"/>
      <c r="AC34" s="39"/>
      <c r="AD34" s="39"/>
      <c r="AE34" s="40" t="s">
        <v>21</v>
      </c>
      <c r="AF34" s="41">
        <f>Pdis_can</f>
        <v>4.4999999999999998E-2</v>
      </c>
      <c r="AG34" s="49">
        <f>Eff_Vcan</f>
        <v>0.76923076923076916</v>
      </c>
      <c r="AH34" s="39"/>
      <c r="AI34" s="39"/>
      <c r="AJ34" s="39"/>
      <c r="AK34" s="39"/>
      <c r="AL34" s="39"/>
      <c r="AM34" s="39"/>
      <c r="AN34" s="39"/>
      <c r="AO34" s="39"/>
      <c r="AP34" s="39"/>
      <c r="AQ34" s="7"/>
    </row>
    <row r="35" spans="1:43" ht="13.2" customHeight="1" x14ac:dyDescent="0.25">
      <c r="A35" s="7"/>
      <c r="B35" s="29"/>
      <c r="C35" s="1"/>
      <c r="E35" s="16"/>
      <c r="F35" s="30"/>
      <c r="H35" s="6"/>
      <c r="I35" s="6"/>
      <c r="J35" s="7"/>
      <c r="K35" s="42"/>
      <c r="L35" s="42"/>
      <c r="M35" s="7"/>
      <c r="N35" s="29"/>
      <c r="O35" s="1"/>
      <c r="Q35" s="16"/>
      <c r="R35" s="30"/>
      <c r="V35" s="104"/>
      <c r="W35" s="42"/>
      <c r="X35" s="42"/>
      <c r="Y35" s="42"/>
      <c r="Z35" s="39"/>
      <c r="AA35" s="39"/>
      <c r="AB35" s="39"/>
      <c r="AC35" s="39"/>
      <c r="AD35" s="39"/>
      <c r="AE35" s="40" t="s">
        <v>119</v>
      </c>
      <c r="AF35" s="41">
        <f>Pdis_kam</f>
        <v>0</v>
      </c>
      <c r="AG35" s="49" t="str">
        <f>AG24</f>
        <v>-</v>
      </c>
      <c r="AH35" s="39"/>
      <c r="AI35" s="39"/>
      <c r="AJ35" s="39"/>
      <c r="AK35" s="39"/>
      <c r="AL35" s="39"/>
      <c r="AM35" s="39"/>
      <c r="AN35" s="39"/>
      <c r="AO35" s="39"/>
      <c r="AP35" s="39"/>
      <c r="AQ35" s="7"/>
    </row>
    <row r="36" spans="1:43" ht="13.2" customHeight="1" x14ac:dyDescent="0.25">
      <c r="A36" s="7"/>
      <c r="B36" s="29"/>
      <c r="C36" s="1"/>
      <c r="E36" s="16"/>
      <c r="F36" s="30"/>
      <c r="H36" s="6"/>
      <c r="I36" s="6"/>
      <c r="J36" s="7"/>
      <c r="K36" s="42"/>
      <c r="L36" s="42"/>
      <c r="M36" s="7"/>
      <c r="N36" s="29"/>
      <c r="O36" s="1"/>
      <c r="Q36" s="16"/>
      <c r="R36" s="30"/>
      <c r="V36" s="104"/>
      <c r="W36" s="42"/>
      <c r="X36" s="42"/>
      <c r="Y36" s="42"/>
      <c r="Z36" s="39"/>
      <c r="AA36" s="39"/>
      <c r="AB36" s="39"/>
      <c r="AC36" s="39"/>
      <c r="AD36" s="39"/>
      <c r="AE36" s="40" t="s">
        <v>51</v>
      </c>
      <c r="AF36" s="41">
        <f>Pdis_CAN_PHY</f>
        <v>0</v>
      </c>
      <c r="AG36" s="49" t="str">
        <f>Eff_CAN</f>
        <v>-</v>
      </c>
      <c r="AH36" s="39"/>
      <c r="AI36" s="39"/>
      <c r="AJ36" s="39"/>
      <c r="AK36" s="39"/>
      <c r="AL36" s="39"/>
      <c r="AM36" s="39"/>
      <c r="AN36" s="39"/>
      <c r="AO36" s="39"/>
      <c r="AP36" s="39"/>
      <c r="AQ36" s="7"/>
    </row>
    <row r="37" spans="1:43" ht="13.2" customHeight="1" x14ac:dyDescent="0.25">
      <c r="A37" s="7"/>
      <c r="B37" s="29"/>
      <c r="C37" s="1"/>
      <c r="E37" s="16"/>
      <c r="F37" s="30"/>
      <c r="H37" s="6"/>
      <c r="I37" s="6"/>
      <c r="J37" s="7"/>
      <c r="K37" s="42"/>
      <c r="L37" s="42"/>
      <c r="M37" s="7"/>
      <c r="N37" s="29"/>
      <c r="O37" s="1"/>
      <c r="Q37" s="16"/>
      <c r="R37" s="30"/>
      <c r="V37" s="104"/>
      <c r="W37" s="42"/>
      <c r="X37" s="42"/>
      <c r="Y37" s="42"/>
      <c r="Z37" s="39"/>
      <c r="AA37" s="39"/>
      <c r="AB37" s="39"/>
      <c r="AC37" s="39"/>
      <c r="AD37" s="39"/>
      <c r="AE37" s="40" t="s">
        <v>83</v>
      </c>
      <c r="AF37" s="41">
        <f>Pdis_LIN_PHY</f>
        <v>0</v>
      </c>
      <c r="AG37" s="51" t="s">
        <v>67</v>
      </c>
      <c r="AH37" s="39"/>
      <c r="AI37" s="39"/>
      <c r="AJ37" s="39"/>
      <c r="AK37" s="39"/>
      <c r="AL37" s="39"/>
      <c r="AM37" s="39"/>
      <c r="AN37" s="39"/>
      <c r="AO37" s="39"/>
      <c r="AP37" s="39"/>
      <c r="AQ37" s="7"/>
    </row>
    <row r="38" spans="1:43" ht="13.2" customHeight="1" x14ac:dyDescent="0.25">
      <c r="A38" s="7"/>
      <c r="J38" s="7"/>
      <c r="K38" s="42"/>
      <c r="L38" s="42"/>
      <c r="M38" s="7"/>
      <c r="V38" s="104"/>
      <c r="W38" s="42"/>
      <c r="X38" s="42"/>
      <c r="Y38" s="42"/>
      <c r="Z38" s="166" t="s">
        <v>59</v>
      </c>
      <c r="AA38" s="166"/>
      <c r="AB38" s="39"/>
      <c r="AC38" s="45">
        <v>5</v>
      </c>
      <c r="AD38" s="39"/>
      <c r="AE38" s="43" t="s">
        <v>48</v>
      </c>
      <c r="AF38" s="44">
        <f>VSUP*I_IC/1000</f>
        <v>0.06</v>
      </c>
      <c r="AG38" s="51" t="s">
        <v>67</v>
      </c>
      <c r="AH38" s="39"/>
      <c r="AI38" s="39"/>
      <c r="AJ38" s="39"/>
      <c r="AK38" s="39"/>
      <c r="AL38" s="39"/>
      <c r="AM38" s="39"/>
      <c r="AN38" s="39"/>
      <c r="AO38" s="39"/>
      <c r="AP38" s="39"/>
      <c r="AQ38" s="7"/>
    </row>
    <row r="39" spans="1:43" ht="3.7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row>
    <row r="40" spans="1:43" ht="10.8" thickBot="1" x14ac:dyDescent="0.3"/>
    <row r="41" spans="1:43" ht="24.9" customHeight="1" thickBot="1" x14ac:dyDescent="0.3">
      <c r="N41" s="167" t="s">
        <v>81</v>
      </c>
      <c r="O41" s="168"/>
      <c r="P41" s="69"/>
      <c r="Q41" s="68">
        <f>Pdis_IC_Vpre+Pdis_IC_Vcore+Pdis_Vcore_Linear+Pdis_cca+Pdis_aux+Pdis_can+Pdis_IC+Pdis_CAN_PHY+Pdis_LIN_PHY+Pdis_kam</f>
        <v>0.4457527948232986</v>
      </c>
      <c r="T41" s="67"/>
      <c r="U41" s="67"/>
      <c r="V41" s="67"/>
      <c r="W41" s="67"/>
      <c r="X41" s="67"/>
      <c r="Y41" s="67"/>
      <c r="Z41" s="67"/>
    </row>
    <row r="42" spans="1:43" ht="11.25" customHeight="1" thickBot="1" x14ac:dyDescent="0.3">
      <c r="E42" s="31"/>
      <c r="T42" s="67"/>
      <c r="U42" s="67"/>
      <c r="V42" s="67"/>
      <c r="W42" s="67"/>
      <c r="X42" s="67"/>
      <c r="Y42" s="67"/>
      <c r="Z42" s="67"/>
    </row>
    <row r="43" spans="1:43" ht="24.9" customHeight="1" thickBot="1" x14ac:dyDescent="0.3">
      <c r="N43" s="167" t="s">
        <v>121</v>
      </c>
      <c r="O43" s="168"/>
      <c r="P43" s="109"/>
      <c r="Q43" s="108">
        <f>T6-(Q41*T5)</f>
        <v>136.62741615530103</v>
      </c>
      <c r="T43" s="72"/>
      <c r="U43" s="73"/>
      <c r="V43" s="73"/>
      <c r="W43" s="73"/>
      <c r="X43" s="73"/>
      <c r="Y43" s="67"/>
      <c r="Z43" s="67"/>
    </row>
  </sheetData>
  <sheetProtection algorithmName="SHA-512" hashValue="wPc9EcB2hWULUeTJKKaIjHeGVdgEuvdl+RojD/xGkjCQ77/ZoNzRfdBFxz0Dm6X3nM3ISgmlOaKyK+PeP18eyg==" saltValue="KRFtqWWoLrpxofKyYIN03g==" spinCount="100000" sheet="1" objects="1" scenarios="1" selectLockedCells="1"/>
  <dataConsolidate/>
  <mergeCells count="27">
    <mergeCell ref="Z28:AC28"/>
    <mergeCell ref="AI8:AM8"/>
    <mergeCell ref="N12:O12"/>
    <mergeCell ref="Q12:R12"/>
    <mergeCell ref="W10:X10"/>
    <mergeCell ref="AF10:AG10"/>
    <mergeCell ref="N10:U10"/>
    <mergeCell ref="AL10:AM10"/>
    <mergeCell ref="Z10:AA10"/>
    <mergeCell ref="AC10:AD10"/>
    <mergeCell ref="AI10:AJ10"/>
    <mergeCell ref="AO10:AP10"/>
    <mergeCell ref="A1:AQ1"/>
    <mergeCell ref="A2:AQ2"/>
    <mergeCell ref="Z38:AA38"/>
    <mergeCell ref="N43:O43"/>
    <mergeCell ref="N41:O41"/>
    <mergeCell ref="B5:C5"/>
    <mergeCell ref="B6:C6"/>
    <mergeCell ref="B4:C4"/>
    <mergeCell ref="T12:U12"/>
    <mergeCell ref="B12:C12"/>
    <mergeCell ref="E12:F12"/>
    <mergeCell ref="H12:I12"/>
    <mergeCell ref="K12:L15"/>
    <mergeCell ref="B10:I10"/>
    <mergeCell ref="K10:L10"/>
  </mergeCells>
  <phoneticPr fontId="32" type="noConversion"/>
  <conditionalFormatting sqref="N41:O41 H32 T32">
    <cfRule type="cellIs" dxfId="30" priority="40" operator="equal">
      <formula>"DCM"</formula>
    </cfRule>
  </conditionalFormatting>
  <conditionalFormatting sqref="N41">
    <cfRule type="expression" dxfId="29" priority="43">
      <formula>$Q$41&gt;$T$4</formula>
    </cfRule>
  </conditionalFormatting>
  <conditionalFormatting sqref="U17 W17:X17">
    <cfRule type="cellIs" dxfId="28" priority="36" operator="greaterThan">
      <formula>$E$5</formula>
    </cfRule>
  </conditionalFormatting>
  <conditionalFormatting sqref="I17">
    <cfRule type="cellIs" dxfId="27" priority="28" operator="greaterThan">
      <formula>2</formula>
    </cfRule>
  </conditionalFormatting>
  <conditionalFormatting sqref="I13">
    <cfRule type="cellIs" dxfId="26" priority="24" operator="between">
      <formula>2.7</formula>
      <formula>4.6</formula>
    </cfRule>
    <cfRule type="cellIs" dxfId="25" priority="25" operator="lessThan">
      <formula>2.7</formula>
    </cfRule>
    <cfRule type="cellIs" dxfId="24" priority="27" operator="greaterThan">
      <formula>40</formula>
    </cfRule>
  </conditionalFormatting>
  <conditionalFormatting sqref="L18">
    <cfRule type="cellIs" dxfId="23" priority="26" operator="lessThan">
      <formula>0</formula>
    </cfRule>
  </conditionalFormatting>
  <conditionalFormatting sqref="AJ13">
    <cfRule type="cellIs" dxfId="22" priority="73" operator="greaterThan">
      <formula>$K$5</formula>
    </cfRule>
    <cfRule type="expression" dxfId="21" priority="74">
      <formula>AND($AM$12="N",$AJ$13&lt;&gt;0)</formula>
    </cfRule>
  </conditionalFormatting>
  <conditionalFormatting sqref="AD17">
    <cfRule type="cellIs" dxfId="20" priority="75" operator="greaterThan">
      <formula>$I$6</formula>
    </cfRule>
  </conditionalFormatting>
  <conditionalFormatting sqref="AA17">
    <cfRule type="expression" dxfId="19" priority="14">
      <formula>AND($AA$13&lt;&gt;0,$AA$17&lt;&gt;0)</formula>
    </cfRule>
    <cfRule type="cellIs" dxfId="18" priority="76" operator="greaterThan">
      <formula>$H$6</formula>
    </cfRule>
  </conditionalFormatting>
  <conditionalFormatting sqref="AA13">
    <cfRule type="cellIs" dxfId="17" priority="77" operator="greaterThan">
      <formula>$H$5</formula>
    </cfRule>
    <cfRule type="expression" dxfId="16" priority="78">
      <formula>AND($AA$13&lt;&gt;0,$AA$17&lt;&gt;0)</formula>
    </cfRule>
  </conditionalFormatting>
  <conditionalFormatting sqref="X13">
    <cfRule type="expression" dxfId="15" priority="15">
      <formula>AND($X$13&lt;&gt;0,$U$17&lt;&gt;0)</formula>
    </cfRule>
    <cfRule type="cellIs" dxfId="14" priority="21" operator="greaterThan">
      <formula>$F$5</formula>
    </cfRule>
  </conditionalFormatting>
  <conditionalFormatting sqref="AA16">
    <cfRule type="cellIs" dxfId="13" priority="19" operator="greaterThan">
      <formula>450</formula>
    </cfRule>
    <cfRule type="cellIs" dxfId="12" priority="20" operator="lessThan">
      <formula>150</formula>
    </cfRule>
  </conditionalFormatting>
  <conditionalFormatting sqref="AD16">
    <cfRule type="cellIs" dxfId="11" priority="17" operator="greaterThan">
      <formula>450</formula>
    </cfRule>
    <cfRule type="cellIs" dxfId="10" priority="18" operator="lessThan">
      <formula>150</formula>
    </cfRule>
  </conditionalFormatting>
  <conditionalFormatting sqref="U17">
    <cfRule type="expression" dxfId="9" priority="16">
      <formula>AND($X$13&lt;&gt;0,$U$17&lt;&gt;0)</formula>
    </cfRule>
  </conditionalFormatting>
  <conditionalFormatting sqref="U15">
    <cfRule type="cellIs" dxfId="8" priority="12" operator="greaterThan">
      <formula>5.1</formula>
    </cfRule>
    <cfRule type="cellIs" dxfId="7" priority="13" operator="lessThan">
      <formula>1</formula>
    </cfRule>
  </conditionalFormatting>
  <conditionalFormatting sqref="X12">
    <cfRule type="cellIs" dxfId="6" priority="9" operator="between">
      <formula>1</formula>
      <formula>3</formula>
    </cfRule>
    <cfRule type="cellIs" dxfId="5" priority="10" operator="lessThan">
      <formula>1</formula>
    </cfRule>
    <cfRule type="cellIs" dxfId="4" priority="11" operator="greaterThan">
      <formula>5.1</formula>
    </cfRule>
  </conditionalFormatting>
  <conditionalFormatting sqref="AG17">
    <cfRule type="cellIs" dxfId="3" priority="8" operator="greaterThan">
      <formula>$I$6</formula>
    </cfRule>
  </conditionalFormatting>
  <conditionalFormatting sqref="AG16">
    <cfRule type="cellIs" dxfId="2" priority="6" operator="greaterThan">
      <formula>450</formula>
    </cfRule>
    <cfRule type="cellIs" dxfId="1" priority="7" operator="lessThan">
      <formula>150</formula>
    </cfRule>
  </conditionalFormatting>
  <conditionalFormatting sqref="AG13">
    <cfRule type="cellIs" dxfId="0" priority="5" operator="greaterThan">
      <formula>$N$5</formula>
    </cfRule>
  </conditionalFormatting>
  <dataValidations count="2">
    <dataValidation type="list" allowBlank="1" showInputMessage="1" showErrorMessage="1" sqref="AM12 AP12" xr:uid="{00000000-0002-0000-0300-000000000000}">
      <formula1>$AS$6:$AS$7</formula1>
    </dataValidation>
    <dataValidation type="list" allowBlank="1" showInputMessage="1" showErrorMessage="1" sqref="AD12 AA12" xr:uid="{00000000-0002-0000-0300-000001000000}">
      <formula1>$AS$4:$AS$5</formula1>
    </dataValidation>
  </dataValidations>
  <pageMargins left="0.17" right="0.19" top="0.33" bottom="0.43" header="0.16" footer="0.28000000000000003"/>
  <pageSetup paperSize="9" scale="69" orientation="landscape" r:id="rId1"/>
  <headerFooter alignWithMargins="0"/>
  <ignoredErrors>
    <ignoredError sqref="O13:O14"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
  <sheetViews>
    <sheetView zoomScale="90" zoomScaleNormal="90" workbookViewId="0">
      <selection activeCell="D29" sqref="D29"/>
    </sheetView>
  </sheetViews>
  <sheetFormatPr defaultColWidth="8.88671875" defaultRowHeight="13.2" x14ac:dyDescent="0.25"/>
  <cols>
    <col min="1" max="16384" width="8.88671875" style="133"/>
  </cols>
  <sheetData/>
  <sheetProtection algorithmName="SHA-512" hashValue="xbV3B8qbfq5jK+xYx5ROsMPzt/WNs3MYETdmmkxk6phsOqk5ANmFdsdFhYWiSQSE/ZboqRnMNjuGE0YswcUrow==" saltValue="Oo3Iq8SZMsJW+Rp2vKppXQ==" spinCount="100000" sheet="1" objects="1" scenarios="1"/>
  <phoneticPr fontId="32" type="noConversion"/>
  <pageMargins left="0.2" right="0.2" top="0.39" bottom="0.34" header="0.22" footer="0.16"/>
  <pageSetup paperSize="9" scale="76" orientation="landscape" verticalDpi="0" r:id="rId1"/>
  <drawing r:id="rId2"/>
  <legacyDrawing r:id="rId3"/>
  <oleObjects>
    <mc:AlternateContent xmlns:mc="http://schemas.openxmlformats.org/markup-compatibility/2006">
      <mc:Choice Requires="x14">
        <oleObject progId="Visio.Drawing.11" shapeId="4099" r:id="rId4">
          <objectPr defaultSize="0" autoPict="0" r:id="rId5">
            <anchor moveWithCells="1">
              <from>
                <xdr:col>0</xdr:col>
                <xdr:colOff>53340</xdr:colOff>
                <xdr:row>0</xdr:row>
                <xdr:rowOff>53340</xdr:rowOff>
              </from>
              <to>
                <xdr:col>21</xdr:col>
                <xdr:colOff>350520</xdr:colOff>
                <xdr:row>64</xdr:row>
                <xdr:rowOff>114300</xdr:rowOff>
              </to>
            </anchor>
          </objectPr>
        </oleObject>
      </mc:Choice>
      <mc:Fallback>
        <oleObject progId="Visio.Drawing.11" shapeId="4099"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topLeftCell="A51" zoomScaleNormal="100" workbookViewId="0">
      <selection activeCell="I82" sqref="I82"/>
    </sheetView>
  </sheetViews>
  <sheetFormatPr defaultColWidth="8.88671875" defaultRowHeight="13.2" x14ac:dyDescent="0.25"/>
  <cols>
    <col min="1" max="16384" width="8.88671875" style="133"/>
  </cols>
  <sheetData/>
  <sheetProtection algorithmName="SHA-512" hashValue="qJIHAP9YuM+Vrz9RiUGSmCGMJOjPkzgZjeXysDCi5V5LI4sWSJZuSr8w1zLxjGYrx+nnUs1BcjnnyPfoD+HsWA==" saltValue="va2Wzh9SfndtUQugbHMY8g==" spinCount="100000" sheet="1" objects="1" scenarios="1"/>
  <phoneticPr fontId="32" type="noConversion"/>
  <pageMargins left="0.7" right="0.7" top="0.75" bottom="0.75" header="0.3" footer="0.3"/>
  <drawing r:id="rId1"/>
  <legacyDrawing r:id="rId2"/>
  <oleObjects>
    <mc:AlternateContent xmlns:mc="http://schemas.openxmlformats.org/markup-compatibility/2006">
      <mc:Choice Requires="x14">
        <oleObject progId="Visio.Drawing.11" shapeId="5122" r:id="rId3">
          <objectPr defaultSize="0" autoPict="0" r:id="rId4">
            <anchor moveWithCells="1">
              <from>
                <xdr:col>0</xdr:col>
                <xdr:colOff>60960</xdr:colOff>
                <xdr:row>3</xdr:row>
                <xdr:rowOff>76200</xdr:rowOff>
              </from>
              <to>
                <xdr:col>21</xdr:col>
                <xdr:colOff>312420</xdr:colOff>
                <xdr:row>67</xdr:row>
                <xdr:rowOff>76200</xdr:rowOff>
              </to>
            </anchor>
          </objectPr>
        </oleObject>
      </mc:Choice>
      <mc:Fallback>
        <oleObject progId="Visio.Drawing.11" shapeId="5122" r:id="rId3"/>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133</vt:i4>
      </vt:variant>
    </vt:vector>
  </HeadingPairs>
  <TitlesOfParts>
    <vt:vector size="139" baseType="lpstr">
      <vt:lpstr>Document_Details</vt:lpstr>
      <vt:lpstr>Revision_History</vt:lpstr>
      <vt:lpstr>User_Guide</vt:lpstr>
      <vt:lpstr>FS6500_FS4500_PDTCALC</vt:lpstr>
      <vt:lpstr>FS6500_Application_Schematic</vt:lpstr>
      <vt:lpstr>FS4500_Application_Schematic</vt:lpstr>
      <vt:lpstr>FS6500_FS4500_PDTCALC!Beta_Vaux</vt:lpstr>
      <vt:lpstr>FS6500_FS4500_PDTCALC!Beta_Vcca</vt:lpstr>
      <vt:lpstr>CAN_bit_DC</vt:lpstr>
      <vt:lpstr>CAN_frame_DC</vt:lpstr>
      <vt:lpstr>CAN_Ibus</vt:lpstr>
      <vt:lpstr>CAN_Icell</vt:lpstr>
      <vt:lpstr>CAN_Rbus</vt:lpstr>
      <vt:lpstr>CAN_Rdriver</vt:lpstr>
      <vt:lpstr>CAN_SLEEP</vt:lpstr>
      <vt:lpstr>CAN_traffic_DC</vt:lpstr>
      <vt:lpstr>FS6500_FS4500_PDTCALC!Cg_Vcore</vt:lpstr>
      <vt:lpstr>FS6500_FS4500_PDTCALC!Cg_Vpre</vt:lpstr>
      <vt:lpstr>FS6500_FS4500_PDTCALC!Cin_Vcore</vt:lpstr>
      <vt:lpstr>Cin_Vpre</vt:lpstr>
      <vt:lpstr>FS6500_FS4500_PDTCALC!Cout_Vcore</vt:lpstr>
      <vt:lpstr>FS6500_FS4500_PDTCALC!Cout_Vpre</vt:lpstr>
      <vt:lpstr>FS6500_FS4500_PDTCALC!dcr_Vcore</vt:lpstr>
      <vt:lpstr>FS6500_FS4500_PDTCALC!dcr_Vpre</vt:lpstr>
      <vt:lpstr>FS6500_FS4500_PDTCALC!Delta_IL_Vcore</vt:lpstr>
      <vt:lpstr>FS6500_FS4500_PDTCALC!Delta_IL_Vpre</vt:lpstr>
      <vt:lpstr>FS6500_FS4500_PDTCALC!duty_cycle_Vcore</vt:lpstr>
      <vt:lpstr>FS6500_FS4500_PDTCALC!duty_cycle_Vpre</vt:lpstr>
      <vt:lpstr>Eff_CAN</vt:lpstr>
      <vt:lpstr>Eff_Vaux</vt:lpstr>
      <vt:lpstr>Eff_Vcan</vt:lpstr>
      <vt:lpstr>Eff_Vcca</vt:lpstr>
      <vt:lpstr>Eff_Vcore_Linear</vt:lpstr>
      <vt:lpstr>FS6500_FS4500_PDTCALC!Efficiency_Vcore</vt:lpstr>
      <vt:lpstr>FS6500_FS4500_PDTCALC!Efficiency_Vpre</vt:lpstr>
      <vt:lpstr>FS6500_FS4500_PDTCALC!ESR_Cin_Vcore</vt:lpstr>
      <vt:lpstr>ESR_Cin_Vpre</vt:lpstr>
      <vt:lpstr>FS6500_FS4500_PDTCALC!ESR_Cout_Vcore</vt:lpstr>
      <vt:lpstr>FS6500_FS4500_PDTCALC!ESR_Cout_Vpre</vt:lpstr>
      <vt:lpstr>FS6500_FS4500_PDTCALC!fsw_Vcore</vt:lpstr>
      <vt:lpstr>FS6500_FS4500_PDTCALC!fsw_Vpre</vt:lpstr>
      <vt:lpstr>FS6500_FS4500_PDTCALC!I_Cout_rms_Vcore</vt:lpstr>
      <vt:lpstr>FS6500_FS4500_PDTCALC!I_Cout_rms_Vpre</vt:lpstr>
      <vt:lpstr>FS6500_FS4500_PDTCALC!I_IC</vt:lpstr>
      <vt:lpstr>FS6500_FS4500_PDTCALC!I_L_rms_Vcore</vt:lpstr>
      <vt:lpstr>FS6500_FS4500_PDTCALC!I_L_rms_Vpre</vt:lpstr>
      <vt:lpstr>FS6500_FS4500_PDTCALC!Iaux_PNP</vt:lpstr>
      <vt:lpstr>FS6500_FS4500_PDTCALC!Ican</vt:lpstr>
      <vt:lpstr>FS6500_FS4500_PDTCALC!Icca</vt:lpstr>
      <vt:lpstr>FS6500_FS4500_PDTCALC!Icca_PNP</vt:lpstr>
      <vt:lpstr>Icore</vt:lpstr>
      <vt:lpstr>Icore_Linear</vt:lpstr>
      <vt:lpstr>Ikam</vt:lpstr>
      <vt:lpstr>FS6500_FS4500_PDTCALC!Iout_Vcore</vt:lpstr>
      <vt:lpstr>FS6500_FS4500_PDTCALC!Iout_Vpre</vt:lpstr>
      <vt:lpstr>FS6500_FS4500_PDTCALC!Ipeak_Vcore</vt:lpstr>
      <vt:lpstr>FS6500_FS4500_PDTCALC!Ipeak_Vpre</vt:lpstr>
      <vt:lpstr>FS6500_FS4500_PDTCALC!IVpre_adder</vt:lpstr>
      <vt:lpstr>FS6500_FS4500_PDTCALC!L_Vcore</vt:lpstr>
      <vt:lpstr>FS6500_FS4500_PDTCALC!L_Vpre</vt:lpstr>
      <vt:lpstr>LIN_bit_DC</vt:lpstr>
      <vt:lpstr>LIN_Diode</vt:lpstr>
      <vt:lpstr>LIN_frame_DC</vt:lpstr>
      <vt:lpstr>LIN_Ibus</vt:lpstr>
      <vt:lpstr>LIN_ICell</vt:lpstr>
      <vt:lpstr>LIN_pullup</vt:lpstr>
      <vt:lpstr>LIN_Rdriver</vt:lpstr>
      <vt:lpstr>LIN_Sleep</vt:lpstr>
      <vt:lpstr>LIN_traffic_DC</vt:lpstr>
      <vt:lpstr>FS6500_FS4500_PDTCALC!Overdrive_Vcore</vt:lpstr>
      <vt:lpstr>FS6500_FS4500_PDTCALC!Overdrive_Vpre</vt:lpstr>
      <vt:lpstr>P_Cin_Vcore</vt:lpstr>
      <vt:lpstr>P_Cin_Vpre</vt:lpstr>
      <vt:lpstr>FS6500_FS4500_PDTCALC!P_cond_Vcore</vt:lpstr>
      <vt:lpstr>FS6500_FS4500_PDTCALC!P_cond_Vpre</vt:lpstr>
      <vt:lpstr>FS6500_FS4500_PDTCALC!P_Cout_Vcore</vt:lpstr>
      <vt:lpstr>FS6500_FS4500_PDTCALC!P_Cout_Vpre</vt:lpstr>
      <vt:lpstr>FS6500_FS4500_PDTCALC!P_diode_Vcore</vt:lpstr>
      <vt:lpstr>FS6500_FS4500_PDTCALC!P_diode_Vpre</vt:lpstr>
      <vt:lpstr>FS6500_FS4500_PDTCALC!P_L_Vcore</vt:lpstr>
      <vt:lpstr>FS6500_FS4500_PDTCALC!P_L_Vpre</vt:lpstr>
      <vt:lpstr>FS6500_FS4500_PDTCALC!P_sw_Vcore</vt:lpstr>
      <vt:lpstr>FS6500_FS4500_PDTCALC!P_sw_Vpre</vt:lpstr>
      <vt:lpstr>Package_Pdis_max</vt:lpstr>
      <vt:lpstr>FS6500_FS4500_PDTCALC!Pdis_aux</vt:lpstr>
      <vt:lpstr>FS6500_FS4500_PDTCALC!Pdis_can</vt:lpstr>
      <vt:lpstr>Pdis_CAN_PHY</vt:lpstr>
      <vt:lpstr>FS6500_FS4500_PDTCALC!Pdis_cca</vt:lpstr>
      <vt:lpstr>FS6500_FS4500_PDTCALC!Pdis_IC</vt:lpstr>
      <vt:lpstr>FS6500_FS4500_PDTCALC!Pdis_IC_Vcore</vt:lpstr>
      <vt:lpstr>FS6500_FS4500_PDTCALC!Pdis_IC_Vpre</vt:lpstr>
      <vt:lpstr>Pdis_kam</vt:lpstr>
      <vt:lpstr>Pdis_LIN_PHY</vt:lpstr>
      <vt:lpstr>FS6500_FS4500_PDTCALC!Pdis_tot_Vcore</vt:lpstr>
      <vt:lpstr>FS6500_FS4500_PDTCALC!Pdis_tot_Vpre</vt:lpstr>
      <vt:lpstr>Pdis_Transceiver</vt:lpstr>
      <vt:lpstr>Pdis_Vcore_Linear</vt:lpstr>
      <vt:lpstr>FS6500_FS4500_PDTCALC!Pout_aux</vt:lpstr>
      <vt:lpstr>FS6500_FS4500_PDTCALC!Pout_can</vt:lpstr>
      <vt:lpstr>Pout_can_PHY</vt:lpstr>
      <vt:lpstr>FS6500_FS4500_PDTCALC!Pout_cca</vt:lpstr>
      <vt:lpstr>Pout_kam</vt:lpstr>
      <vt:lpstr>FS6500_FS4500_PDTCALC!Pout_Vcore</vt:lpstr>
      <vt:lpstr>Pout_Vcore_Linear</vt:lpstr>
      <vt:lpstr>FS6500_FS4500_PDTCALC!Pout_Vpre</vt:lpstr>
      <vt:lpstr>FS6500_FS4500_PDTCALC!Pout_Vpre_adder</vt:lpstr>
      <vt:lpstr>FS6500_Application_Schematic!Print_Area</vt:lpstr>
      <vt:lpstr>FS6500_FS4500_PDTCALC!Print_Area</vt:lpstr>
      <vt:lpstr>FS6500_FS4500_PDTCALC!Rdson_Vcore</vt:lpstr>
      <vt:lpstr>FS6500_FS4500_PDTCALC!Rdson_Vpre</vt:lpstr>
      <vt:lpstr>FS6500_FS4500_PDTCALC!Ron_Vaux</vt:lpstr>
      <vt:lpstr>FS6500_FS4500_PDTCALC!toff_Vcore</vt:lpstr>
      <vt:lpstr>FS6500_FS4500_PDTCALC!toff_Vpre</vt:lpstr>
      <vt:lpstr>FS6500_FS4500_PDTCALC!ton_Vcore</vt:lpstr>
      <vt:lpstr>FS6500_FS4500_PDTCALC!ton_Vpre</vt:lpstr>
      <vt:lpstr>FS6500_FS4500_PDTCALC!tswoff_Vcore</vt:lpstr>
      <vt:lpstr>FS6500_FS4500_PDTCALC!tswoff_Vpre</vt:lpstr>
      <vt:lpstr>FS6500_FS4500_PDTCALC!tswon_Vcore</vt:lpstr>
      <vt:lpstr>FS6500_FS4500_PDTCALC!tswon_Vpre</vt:lpstr>
      <vt:lpstr>FS6500_FS4500_PDTCALC!Vaux</vt:lpstr>
      <vt:lpstr>Vaux_PNP_Th</vt:lpstr>
      <vt:lpstr>FS6500_FS4500_PDTCALC!Vcan</vt:lpstr>
      <vt:lpstr>Vcan_Th</vt:lpstr>
      <vt:lpstr>FS6500_FS4500_PDTCALC!Vcca</vt:lpstr>
      <vt:lpstr>Vcca_Int_Th</vt:lpstr>
      <vt:lpstr>Vcca_PNP_Th</vt:lpstr>
      <vt:lpstr>Vcore_Linear</vt:lpstr>
      <vt:lpstr>Vcore_Linear_TH</vt:lpstr>
      <vt:lpstr>Vcore_Th</vt:lpstr>
      <vt:lpstr>FS6500_FS4500_PDTCALC!Vdiode_Vcore</vt:lpstr>
      <vt:lpstr>FS6500_FS4500_PDTCALC!Vdiode_Vpre</vt:lpstr>
      <vt:lpstr>FS6500_FS4500_PDTCALC!Vdrop_MOS_Vcore</vt:lpstr>
      <vt:lpstr>FS6500_FS4500_PDTCALC!Vdrop_MOS_Vpre</vt:lpstr>
      <vt:lpstr>FS6500_FS4500_PDTCALC!Vin_Vcore</vt:lpstr>
      <vt:lpstr>VKAM</vt:lpstr>
      <vt:lpstr>FS6500_FS4500_PDTCALC!Vout_Vcore</vt:lpstr>
      <vt:lpstr>FS6500_FS4500_PDTCALC!Vout_Vpre</vt:lpstr>
      <vt:lpstr>Vpre_TH</vt:lpstr>
      <vt:lpstr>FS6500_FS4500_PDTCALC!VSUP</vt:lpstr>
    </vt:vector>
  </TitlesOfParts>
  <Company>Freescale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b19789</dc:creator>
  <cp:lastModifiedBy>Allan An</cp:lastModifiedBy>
  <cp:lastPrinted>2013-11-12T10:59:10Z</cp:lastPrinted>
  <dcterms:created xsi:type="dcterms:W3CDTF">2008-10-13T15:46:26Z</dcterms:created>
  <dcterms:modified xsi:type="dcterms:W3CDTF">2021-01-08T10:46:42Z</dcterms:modified>
</cp:coreProperties>
</file>